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1. WK\"/>
    </mc:Choice>
  </mc:AlternateContent>
  <xr:revisionPtr revIDLastSave="0" documentId="13_ncr:1_{95A6EC92-7E9B-4A21-9737-D5C4CD192BD2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3" i="18"/>
  <c r="C14" i="18"/>
  <c r="C18" i="18"/>
  <c r="C9" i="18"/>
  <c r="C20" i="18"/>
  <c r="C2" i="18"/>
  <c r="C11" i="18"/>
  <c r="C17" i="18"/>
  <c r="C16" i="18"/>
  <c r="C6" i="18"/>
  <c r="C10" i="18"/>
  <c r="C21" i="18"/>
  <c r="C12" i="18"/>
  <c r="C19" i="18"/>
  <c r="C22" i="18"/>
  <c r="C7" i="18"/>
  <c r="C5" i="18"/>
  <c r="C13" i="18"/>
  <c r="C4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8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4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J75" i="17" l="1"/>
  <c r="F75" i="17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C63" i="1" s="1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5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1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C65" i="1" s="1"/>
  <c r="Y58" i="2"/>
  <c r="L58" i="2"/>
  <c r="Z58" i="2"/>
  <c r="M58" i="2"/>
  <c r="S58" i="2"/>
  <c r="AA58" i="2"/>
  <c r="N58" i="2"/>
  <c r="C23" i="31"/>
  <c r="C23" i="29"/>
  <c r="B2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AK16" i="24"/>
  <c r="AM16" i="24" s="1"/>
  <c r="AK50" i="24"/>
  <c r="AM50" i="24" s="1"/>
  <c r="AM32" i="27"/>
  <c r="V48" i="28"/>
  <c r="L75" i="17"/>
  <c r="G54" i="23"/>
  <c r="J46" i="24"/>
  <c r="Z55" i="24"/>
  <c r="J48" i="28"/>
  <c r="Z48" i="28"/>
  <c r="H54" i="30"/>
  <c r="I75" i="17"/>
  <c r="H68" i="17"/>
  <c r="K75" i="17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7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2" i="18"/>
  <c r="B16" i="18"/>
  <c r="C30" i="28"/>
  <c r="M30" i="28" s="1"/>
  <c r="C26" i="29"/>
  <c r="C27" i="29"/>
  <c r="T27" i="29" s="1"/>
  <c r="C30" i="30"/>
  <c r="L35" i="30"/>
  <c r="B10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6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3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2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AM18" i="29" s="1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AM16" i="27" s="1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AM31" i="27" s="1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8" i="18"/>
  <c r="AB16" i="32"/>
  <c r="C69" i="6"/>
  <c r="T69" i="6" s="1"/>
  <c r="E8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8" i="18"/>
  <c r="F52" i="18"/>
  <c r="H41" i="18"/>
  <c r="H33" i="18"/>
  <c r="H25" i="18"/>
  <c r="H19" i="18"/>
  <c r="H2" i="18"/>
  <c r="O48" i="18"/>
  <c r="N27" i="18"/>
  <c r="G6" i="18"/>
  <c r="G55" i="18"/>
  <c r="H76" i="1" s="1"/>
  <c r="G49" i="18"/>
  <c r="G41" i="18"/>
  <c r="G33" i="18"/>
  <c r="G25" i="18"/>
  <c r="G19" i="18"/>
  <c r="G2" i="18"/>
  <c r="N7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6" i="18"/>
  <c r="G3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2" i="6"/>
  <c r="L3" i="18"/>
  <c r="L10" i="18"/>
  <c r="L4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7" i="18"/>
  <c r="AA70" i="2"/>
  <c r="G70" i="2"/>
  <c r="R70" i="2"/>
  <c r="M70" i="2"/>
  <c r="L69" i="2"/>
  <c r="P66" i="2"/>
  <c r="Z70" i="2"/>
  <c r="U70" i="2"/>
  <c r="AB66" i="2"/>
  <c r="W66" i="2"/>
  <c r="C62" i="1"/>
  <c r="B8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7" i="18"/>
  <c r="H21" i="18"/>
  <c r="H17" i="18"/>
  <c r="O50" i="18"/>
  <c r="O40" i="18"/>
  <c r="O32" i="18"/>
  <c r="O24" i="18"/>
  <c r="O1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7" i="18"/>
  <c r="G21" i="18"/>
  <c r="E9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8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9" i="18"/>
  <c r="P15" i="18"/>
  <c r="P3" i="18"/>
  <c r="P2" i="18"/>
  <c r="P17" i="18"/>
  <c r="P6" i="18"/>
  <c r="P21" i="18"/>
  <c r="P19" i="18"/>
  <c r="P7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0" i="18"/>
  <c r="P22" i="18"/>
  <c r="P4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5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2" i="18"/>
  <c r="F11" i="18"/>
  <c r="F17" i="18"/>
  <c r="F16" i="18"/>
  <c r="F6" i="18"/>
  <c r="F10" i="18"/>
  <c r="F21" i="18"/>
  <c r="F12" i="18"/>
  <c r="F19" i="18"/>
  <c r="F22" i="18"/>
  <c r="F7" i="18"/>
  <c r="F5" i="18"/>
  <c r="F13" i="18"/>
  <c r="F4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8" i="18"/>
  <c r="F58" i="18"/>
  <c r="G79" i="1" s="1"/>
  <c r="F60" i="18"/>
  <c r="G81" i="1" s="1"/>
  <c r="F3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3" i="18"/>
  <c r="Q18" i="18"/>
  <c r="Q14" i="18"/>
  <c r="Q20" i="18"/>
  <c r="Q11" i="18"/>
  <c r="Q16" i="18"/>
  <c r="Q10" i="18"/>
  <c r="Q12" i="18"/>
  <c r="Q22" i="18"/>
  <c r="Q5" i="18"/>
  <c r="Q4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7" i="18"/>
  <c r="Q21" i="18"/>
  <c r="Q7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2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6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9" i="18"/>
  <c r="G18" i="18"/>
  <c r="H3" i="18"/>
  <c r="H14" i="18"/>
  <c r="H18" i="18"/>
  <c r="H9" i="18"/>
  <c r="H20" i="18"/>
  <c r="AA18" i="26"/>
  <c r="AA27" i="26"/>
  <c r="AB27" i="26"/>
  <c r="AB46" i="27"/>
  <c r="L14" i="18"/>
  <c r="L9" i="18"/>
  <c r="L15" i="18"/>
  <c r="L18" i="18"/>
  <c r="L2" i="18"/>
  <c r="L17" i="18"/>
  <c r="L6" i="18"/>
  <c r="L21" i="18"/>
  <c r="L19" i="18"/>
  <c r="L7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2" i="18"/>
  <c r="L5" i="18"/>
  <c r="L24" i="18"/>
  <c r="L28" i="18"/>
  <c r="L32" i="18"/>
  <c r="L36" i="18"/>
  <c r="L40" i="18"/>
  <c r="L50" i="18"/>
  <c r="L51" i="18"/>
  <c r="L72" i="1" s="1"/>
  <c r="AA49" i="28"/>
  <c r="M3" i="18"/>
  <c r="M18" i="18"/>
  <c r="M9" i="18"/>
  <c r="M20" i="18"/>
  <c r="M11" i="18"/>
  <c r="M16" i="18"/>
  <c r="M10" i="18"/>
  <c r="M12" i="18"/>
  <c r="M22" i="18"/>
  <c r="M5" i="18"/>
  <c r="M4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2" i="18"/>
  <c r="M6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3" i="18"/>
  <c r="N18" i="18"/>
  <c r="N9" i="18"/>
  <c r="N20" i="18"/>
  <c r="N11" i="18"/>
  <c r="N16" i="18"/>
  <c r="N10" i="18"/>
  <c r="N12" i="18"/>
  <c r="N22" i="18"/>
  <c r="N5" i="18"/>
  <c r="N4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2" i="18"/>
  <c r="N6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4" i="18"/>
  <c r="H5" i="18"/>
  <c r="H22" i="18"/>
  <c r="H12" i="18"/>
  <c r="H10" i="18"/>
  <c r="H16" i="18"/>
  <c r="H11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11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2" i="18"/>
  <c r="E11" i="18"/>
  <c r="E17" i="18"/>
  <c r="E16" i="18"/>
  <c r="E6" i="18"/>
  <c r="E10" i="18"/>
  <c r="E21" i="18"/>
  <c r="E12" i="18"/>
  <c r="E19" i="18"/>
  <c r="E22" i="18"/>
  <c r="E7" i="18"/>
  <c r="E5" i="18"/>
  <c r="E13" i="18"/>
  <c r="E4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3" i="18"/>
  <c r="E20" i="18"/>
  <c r="AA20" i="24"/>
  <c r="C66" i="24"/>
  <c r="J66" i="24" s="1"/>
  <c r="C70" i="24"/>
  <c r="V70" i="24" s="1"/>
  <c r="AB23" i="25"/>
  <c r="AB17" i="26"/>
  <c r="AA43" i="26"/>
  <c r="H8" i="18"/>
  <c r="L8" i="18"/>
  <c r="AB19" i="28"/>
  <c r="M8" i="18"/>
  <c r="AB16" i="29"/>
  <c r="AA19" i="29"/>
  <c r="AA34" i="29"/>
  <c r="AB25" i="30"/>
  <c r="O14" i="18"/>
  <c r="O9" i="18"/>
  <c r="O3" i="18"/>
  <c r="O2" i="18"/>
  <c r="O17" i="18"/>
  <c r="O6" i="18"/>
  <c r="O21" i="18"/>
  <c r="O19" i="18"/>
  <c r="O7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0" i="18"/>
  <c r="O22" i="18"/>
  <c r="O4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8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4" i="18"/>
  <c r="G5" i="18"/>
  <c r="G22" i="18"/>
  <c r="G12" i="18"/>
  <c r="G10" i="18"/>
  <c r="G16" i="18"/>
  <c r="G11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5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Q76" i="30" s="1"/>
  <c r="D7" i="30" s="1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AA76" i="29" s="1"/>
  <c r="D12" i="29" s="1"/>
  <c r="K12" i="17" s="1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6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7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2" i="18"/>
  <c r="T23" i="18"/>
  <c r="T38" i="18"/>
  <c r="T47" i="18"/>
  <c r="T25" i="18"/>
  <c r="T16" i="18"/>
  <c r="T20" i="18"/>
  <c r="T18" i="18"/>
  <c r="T4" i="18"/>
  <c r="T22" i="18"/>
  <c r="T34" i="18"/>
  <c r="T24" i="18"/>
  <c r="T5" i="18"/>
  <c r="T35" i="18"/>
  <c r="T9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0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1" i="18"/>
  <c r="T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M76" i="32" l="1"/>
  <c r="D5" i="32" s="1"/>
  <c r="T76" i="32"/>
  <c r="E8" i="32" s="1"/>
  <c r="T76" i="31"/>
  <c r="E8" i="31" s="1"/>
  <c r="O76" i="29"/>
  <c r="D6" i="29" s="1"/>
  <c r="S76" i="29"/>
  <c r="D8" i="29" s="1"/>
  <c r="J76" i="29"/>
  <c r="E3" i="29" s="1"/>
  <c r="W76" i="29"/>
  <c r="D10" i="29" s="1"/>
  <c r="V76" i="29"/>
  <c r="E9" i="29" s="1"/>
  <c r="AC76" i="29"/>
  <c r="D13" i="29" s="1"/>
  <c r="G76" i="28"/>
  <c r="D2" i="28" s="1"/>
  <c r="M76" i="27"/>
  <c r="D5" i="27" s="1"/>
  <c r="AA76" i="27"/>
  <c r="D12" i="27" s="1"/>
  <c r="I12" i="17" s="1"/>
  <c r="I76" i="27"/>
  <c r="D3" i="27" s="1"/>
  <c r="G76" i="25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3" i="19" s="1"/>
  <c r="J76" i="23"/>
  <c r="E3" i="23" s="1"/>
  <c r="AC76" i="30"/>
  <c r="D13" i="30" s="1"/>
  <c r="N13" i="19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L6" i="17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3" i="18"/>
  <c r="D20" i="18"/>
  <c r="D16" i="18"/>
  <c r="D10" i="18"/>
  <c r="D22" i="18"/>
  <c r="D4" i="18"/>
  <c r="D26" i="18"/>
  <c r="D30" i="18"/>
  <c r="D34" i="18"/>
  <c r="D38" i="18"/>
  <c r="D42" i="18"/>
  <c r="D46" i="18"/>
  <c r="D50" i="18"/>
  <c r="D54" i="18"/>
  <c r="D14" i="18"/>
  <c r="D2" i="18"/>
  <c r="D6" i="18"/>
  <c r="D21" i="18"/>
  <c r="D7" i="18"/>
  <c r="D23" i="18"/>
  <c r="D27" i="18"/>
  <c r="D31" i="18"/>
  <c r="D35" i="18"/>
  <c r="D39" i="18"/>
  <c r="D43" i="18"/>
  <c r="D47" i="18"/>
  <c r="D51" i="18"/>
  <c r="D55" i="18"/>
  <c r="D18" i="18"/>
  <c r="D11" i="18"/>
  <c r="D15" i="18"/>
  <c r="D12" i="18"/>
  <c r="D5" i="18"/>
  <c r="D24" i="18"/>
  <c r="D28" i="18"/>
  <c r="D32" i="18"/>
  <c r="D36" i="18"/>
  <c r="D40" i="18"/>
  <c r="D44" i="18"/>
  <c r="D48" i="18"/>
  <c r="D52" i="18"/>
  <c r="D56" i="18"/>
  <c r="D9" i="18"/>
  <c r="D17" i="18"/>
  <c r="D57" i="18"/>
  <c r="D60" i="18"/>
  <c r="D58" i="18"/>
  <c r="D61" i="18"/>
  <c r="D59" i="18"/>
  <c r="D8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L5" i="17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3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J9" i="17" s="1"/>
  <c r="S76" i="24"/>
  <c r="D8" i="24" s="1"/>
  <c r="F8" i="19" s="1"/>
  <c r="V76" i="26"/>
  <c r="E9" i="26" s="1"/>
  <c r="G76" i="32"/>
  <c r="D2" i="32" s="1"/>
  <c r="P3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3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3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3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3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3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E7" i="19"/>
  <c r="N8" i="17"/>
  <c r="L2" i="19"/>
  <c r="G9" i="17"/>
  <c r="D13" i="17"/>
  <c r="E13" i="19"/>
  <c r="F17" i="1" s="1"/>
  <c r="E4" i="19"/>
  <c r="E7" i="17"/>
  <c r="G8" i="19"/>
  <c r="K5" i="19"/>
  <c r="L8" i="17"/>
  <c r="E8" i="19"/>
  <c r="D7" i="17"/>
  <c r="F2" i="17"/>
  <c r="H9" i="19"/>
  <c r="G8" i="17"/>
  <c r="K11" i="19"/>
  <c r="K8" i="17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O6" i="19"/>
  <c r="M5" i="17"/>
  <c r="P2" i="19"/>
  <c r="N3" i="17"/>
  <c r="P4" i="19"/>
  <c r="P7" i="19"/>
  <c r="N6" i="17"/>
  <c r="G6" i="19"/>
  <c r="H5" i="19"/>
  <c r="H12" i="19"/>
  <c r="G11" i="17"/>
  <c r="M12" i="19"/>
  <c r="K11" i="17"/>
  <c r="E11" i="19"/>
  <c r="E9" i="19"/>
  <c r="D8" i="17"/>
  <c r="D5" i="17"/>
  <c r="E13" i="17"/>
  <c r="F13" i="19"/>
  <c r="G17" i="1" s="1"/>
  <c r="G2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H2" i="19"/>
  <c r="G3" i="17"/>
  <c r="I8" i="17"/>
  <c r="K2" i="19"/>
  <c r="I3" i="17"/>
  <c r="K7" i="19"/>
  <c r="L6" i="19"/>
  <c r="M4" i="19"/>
  <c r="M10" i="19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2" i="19" l="1"/>
  <c r="N10" i="19"/>
  <c r="O14" i="1" s="1"/>
  <c r="N11" i="19"/>
  <c r="O15" i="1" s="1"/>
  <c r="L13" i="17"/>
  <c r="N6" i="19"/>
  <c r="N4" i="19"/>
  <c r="N5" i="19"/>
  <c r="L9" i="17"/>
  <c r="M2" i="19"/>
  <c r="K9" i="17"/>
  <c r="J5" i="17"/>
  <c r="L5" i="19"/>
  <c r="L3" i="19"/>
  <c r="R3" i="19" s="1"/>
  <c r="J2" i="17"/>
  <c r="L7" i="19"/>
  <c r="M11" i="1" s="1"/>
  <c r="J7" i="17"/>
  <c r="G12" i="19"/>
  <c r="G7" i="19"/>
  <c r="G3" i="19"/>
  <c r="F2" i="19"/>
  <c r="E2" i="17"/>
  <c r="E10" i="19"/>
  <c r="F14" i="1" s="1"/>
  <c r="D2" i="17"/>
  <c r="E2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8" i="18"/>
  <c r="W8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1" i="18"/>
  <c r="K11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4" i="18"/>
  <c r="K4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5" i="18"/>
  <c r="W5" i="18"/>
  <c r="K18" i="18"/>
  <c r="W18" i="18"/>
  <c r="E64" i="1"/>
  <c r="K64" i="1" s="1"/>
  <c r="U64" i="1" s="1"/>
  <c r="K43" i="18"/>
  <c r="W43" i="18"/>
  <c r="W27" i="18"/>
  <c r="K27" i="18"/>
  <c r="K6" i="18"/>
  <c r="W6" i="18"/>
  <c r="E71" i="1"/>
  <c r="K71" i="1" s="1"/>
  <c r="U71" i="1" s="1"/>
  <c r="W50" i="18"/>
  <c r="K50" i="18"/>
  <c r="W34" i="18"/>
  <c r="K34" i="18"/>
  <c r="W22" i="18"/>
  <c r="K22" i="18"/>
  <c r="W3" i="18"/>
  <c r="K3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2" i="18"/>
  <c r="W12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2" i="18"/>
  <c r="K2" i="18"/>
  <c r="E67" i="1"/>
  <c r="K67" i="1" s="1"/>
  <c r="U67" i="1" s="1"/>
  <c r="K46" i="18"/>
  <c r="W46" i="18"/>
  <c r="W30" i="18"/>
  <c r="K30" i="18"/>
  <c r="K10" i="18"/>
  <c r="W10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7" i="18"/>
  <c r="K7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9"/>
  <c r="R10" i="19" s="1"/>
  <c r="L9" i="19"/>
  <c r="M13" i="1" s="1"/>
  <c r="O11" i="19"/>
  <c r="P15" i="1" s="1"/>
  <c r="N12" i="19"/>
  <c r="O16" i="1" s="1"/>
  <c r="F3" i="17"/>
  <c r="F11" i="17"/>
  <c r="O12" i="17"/>
  <c r="Q3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N13" i="1"/>
  <c r="O11" i="17"/>
  <c r="Q12" i="19" s="1"/>
  <c r="R16" i="1" s="1"/>
  <c r="N2" i="19"/>
  <c r="G14" i="1"/>
  <c r="H12" i="1"/>
  <c r="Q14" i="1"/>
  <c r="P12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0" i="1" l="1"/>
  <c r="O10" i="17"/>
  <c r="Q11" i="19" s="1"/>
  <c r="R15" i="1" s="1"/>
  <c r="V71" i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11" i="18" s="1"/>
  <c r="H19" i="17"/>
  <c r="J18" i="18" s="1"/>
  <c r="O44" i="17"/>
  <c r="S31" i="18" s="1"/>
  <c r="O40" i="17"/>
  <c r="S27" i="18" s="1"/>
  <c r="O36" i="17"/>
  <c r="S23" i="18" s="1"/>
  <c r="O32" i="17"/>
  <c r="O28" i="17"/>
  <c r="O24" i="17"/>
  <c r="O20" i="17"/>
  <c r="O16" i="17"/>
  <c r="H36" i="17"/>
  <c r="J23" i="18" s="1"/>
  <c r="H28" i="17"/>
  <c r="H20" i="17"/>
  <c r="O41" i="17"/>
  <c r="S28" i="18" s="1"/>
  <c r="O29" i="17"/>
  <c r="O21" i="17"/>
  <c r="S20" i="18" s="1"/>
  <c r="O15" i="17"/>
  <c r="H42" i="17"/>
  <c r="J29" i="18" s="1"/>
  <c r="H38" i="17"/>
  <c r="J25" i="18" s="1"/>
  <c r="H34" i="17"/>
  <c r="H30" i="17"/>
  <c r="H26" i="17"/>
  <c r="H22" i="17"/>
  <c r="J2" i="18" s="1"/>
  <c r="H18" i="17"/>
  <c r="O43" i="17"/>
  <c r="S30" i="18" s="1"/>
  <c r="O39" i="17"/>
  <c r="S26" i="18" s="1"/>
  <c r="O35" i="17"/>
  <c r="O31" i="17"/>
  <c r="S22" i="18" s="1"/>
  <c r="O27" i="17"/>
  <c r="S10" i="18" s="1"/>
  <c r="O23" i="17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1" i="18" l="1"/>
  <c r="S9" i="18"/>
  <c r="S7" i="18"/>
  <c r="S5" i="18"/>
  <c r="S12" i="18"/>
  <c r="S18" i="18"/>
  <c r="S4" i="18"/>
  <c r="S2" i="18"/>
  <c r="S21" i="18"/>
  <c r="S15" i="18"/>
  <c r="S19" i="18"/>
  <c r="J15" i="18"/>
  <c r="J13" i="18"/>
  <c r="J14" i="18"/>
  <c r="J19" i="18"/>
  <c r="J3" i="18"/>
  <c r="J16" i="18"/>
  <c r="J4" i="18"/>
  <c r="J5" i="18"/>
  <c r="S17" i="18"/>
  <c r="J10" i="18"/>
  <c r="J20" i="18"/>
  <c r="J6" i="18"/>
  <c r="J12" i="18"/>
  <c r="J9" i="18"/>
  <c r="J17" i="18"/>
  <c r="J21" i="18"/>
  <c r="J7" i="18"/>
  <c r="S13" i="18"/>
  <c r="S3" i="18"/>
  <c r="S14" i="18"/>
  <c r="S6" i="18"/>
  <c r="I9" i="19"/>
  <c r="P8" i="17"/>
  <c r="S9" i="19" s="1"/>
  <c r="I11" i="19"/>
  <c r="P10" i="17"/>
  <c r="S11" i="19" s="1"/>
  <c r="T15" i="1" s="1"/>
  <c r="O75" i="17"/>
  <c r="S8" i="18"/>
  <c r="R8" i="18" s="1"/>
  <c r="J8" i="18"/>
  <c r="I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4" i="18"/>
  <c r="R2" i="18"/>
  <c r="R10" i="18"/>
  <c r="R23" i="18"/>
  <c r="R16" i="18"/>
  <c r="R21" i="18"/>
  <c r="R30" i="18"/>
  <c r="R26" i="18"/>
  <c r="R14" i="18"/>
  <c r="R17" i="18"/>
  <c r="R22" i="18"/>
  <c r="R11" i="18"/>
  <c r="R33" i="18"/>
  <c r="R32" i="18"/>
  <c r="R36" i="18"/>
  <c r="R24" i="18"/>
  <c r="R12" i="18"/>
  <c r="R3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3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3" i="19" s="1"/>
  <c r="J3" i="19" s="1"/>
  <c r="I3" i="19" s="1"/>
  <c r="C6" i="19"/>
  <c r="Q76" i="6"/>
  <c r="D7" i="6" s="1"/>
  <c r="D8" i="19" s="1"/>
  <c r="E12" i="1" s="1"/>
  <c r="K12" i="1" s="1"/>
  <c r="U12" i="1" s="1"/>
  <c r="R76" i="6"/>
  <c r="D84" i="1"/>
  <c r="B3" i="17"/>
  <c r="C2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Q84" i="1" l="1"/>
  <c r="P84" i="1"/>
  <c r="O84" i="1"/>
  <c r="N84" i="1"/>
  <c r="M84" i="1"/>
  <c r="L84" i="1"/>
  <c r="H84" i="1"/>
  <c r="G84" i="1"/>
  <c r="V14" i="1"/>
  <c r="F84" i="1"/>
  <c r="D6" i="19"/>
  <c r="T6" i="19" s="1"/>
  <c r="E84" i="1"/>
  <c r="T3" i="19"/>
  <c r="S3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2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2" i="19" s="1"/>
  <c r="U42" i="1" l="1"/>
  <c r="J6" i="19"/>
  <c r="T7" i="19"/>
  <c r="E11" i="1"/>
  <c r="D5" i="19"/>
  <c r="J5" i="19" s="1"/>
  <c r="K84" i="1"/>
  <c r="S84" i="1"/>
  <c r="T4" i="19"/>
  <c r="J4" i="19"/>
  <c r="T2" i="19"/>
  <c r="J2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P20" i="17"/>
  <c r="P25" i="17"/>
  <c r="P18" i="17"/>
  <c r="P19" i="17"/>
  <c r="V18" i="18" s="1"/>
  <c r="V3" i="18" l="1"/>
  <c r="V43" i="1"/>
  <c r="V42" i="1"/>
  <c r="V2" i="18"/>
  <c r="V15" i="18"/>
  <c r="V11" i="18"/>
  <c r="V22" i="18"/>
  <c r="V20" i="18"/>
  <c r="V5" i="18"/>
  <c r="V9" i="18"/>
  <c r="V21" i="18"/>
  <c r="V19" i="18"/>
  <c r="I6" i="19"/>
  <c r="J10" i="1" s="1"/>
  <c r="V6" i="18"/>
  <c r="V14" i="18"/>
  <c r="V16" i="18"/>
  <c r="V17" i="18"/>
  <c r="V7" i="18"/>
  <c r="V13" i="18"/>
  <c r="V12" i="18"/>
  <c r="V10" i="18"/>
  <c r="I2" i="19"/>
  <c r="J7" i="1" s="1"/>
  <c r="I4" i="19"/>
  <c r="I5" i="19"/>
  <c r="Q5" i="19"/>
  <c r="P2" i="17"/>
  <c r="I31" i="18"/>
  <c r="I16" i="18"/>
  <c r="I11" i="18"/>
  <c r="I25" i="18"/>
  <c r="I34" i="18"/>
  <c r="I32" i="18"/>
  <c r="I22" i="18"/>
  <c r="I3" i="18"/>
  <c r="I18" i="18"/>
  <c r="I10" i="18"/>
  <c r="I21" i="18"/>
  <c r="I9" i="18"/>
  <c r="I5" i="18"/>
  <c r="I19" i="18"/>
  <c r="I12" i="18"/>
  <c r="I20" i="18"/>
  <c r="I38" i="18"/>
  <c r="I2" i="18"/>
  <c r="I4" i="18"/>
  <c r="I6" i="18"/>
  <c r="I37" i="18"/>
  <c r="I23" i="18"/>
  <c r="I7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2" i="19"/>
  <c r="Q8" i="19"/>
  <c r="Q4" i="19"/>
  <c r="V48" i="1"/>
  <c r="R15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2" i="19" s="1"/>
  <c r="M19" i="1"/>
  <c r="H19" i="1"/>
  <c r="N19" i="1"/>
  <c r="E6" i="1"/>
  <c r="K6" i="1" s="1"/>
  <c r="E7" i="1"/>
  <c r="K7" i="1" s="1"/>
  <c r="E8" i="1"/>
  <c r="K8" i="1" s="1"/>
  <c r="P15" i="17"/>
  <c r="V4" i="18" s="1"/>
  <c r="P4" i="17"/>
  <c r="S4" i="19" s="1"/>
  <c r="R6" i="1" l="1"/>
  <c r="J23" i="1"/>
  <c r="J24" i="1"/>
  <c r="J53" i="1"/>
  <c r="J46" i="1"/>
  <c r="J28" i="1"/>
  <c r="J36" i="1"/>
  <c r="J39" i="1"/>
  <c r="J31" i="1"/>
  <c r="J47" i="1"/>
  <c r="J29" i="1"/>
  <c r="J25" i="1"/>
  <c r="P75" i="17"/>
  <c r="V8" i="18"/>
  <c r="U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6" i="18"/>
  <c r="U13" i="18"/>
  <c r="R38" i="18"/>
  <c r="U21" i="18"/>
  <c r="U2" i="18"/>
  <c r="U29" i="18"/>
  <c r="U37" i="18"/>
  <c r="U12" i="18"/>
  <c r="R5" i="18"/>
  <c r="R9" i="18"/>
  <c r="R19" i="18"/>
  <c r="R31" i="1" s="1"/>
  <c r="U24" i="18"/>
  <c r="U36" i="18"/>
  <c r="R7" i="18"/>
  <c r="R39" i="1" s="1"/>
  <c r="U3" i="18"/>
  <c r="U14" i="18"/>
  <c r="U10" i="18"/>
  <c r="U22" i="18"/>
  <c r="R27" i="18"/>
  <c r="R34" i="18"/>
  <c r="R54" i="1" s="1"/>
  <c r="R35" i="18"/>
  <c r="U25" i="18"/>
  <c r="U4" i="18"/>
  <c r="U16" i="18"/>
  <c r="U17" i="18"/>
  <c r="U26" i="18"/>
  <c r="U30" i="18"/>
  <c r="U33" i="18"/>
  <c r="U18" i="18"/>
  <c r="U23" i="18"/>
  <c r="R6" i="18"/>
  <c r="U11" i="18"/>
  <c r="R20" i="18"/>
  <c r="R31" i="18"/>
  <c r="S5" i="19"/>
  <c r="T10" i="1"/>
  <c r="U15" i="18"/>
  <c r="U9" i="1"/>
  <c r="K19" i="1"/>
  <c r="U10" i="1"/>
  <c r="U7" i="1"/>
  <c r="U11" i="1"/>
  <c r="V12" i="1" s="1"/>
  <c r="U8" i="1"/>
  <c r="U6" i="1"/>
  <c r="S19" i="1"/>
  <c r="J9" i="1"/>
  <c r="J8" i="1"/>
  <c r="J11" i="1"/>
  <c r="E19" i="1"/>
  <c r="T7" i="1" l="1"/>
  <c r="T9" i="1"/>
  <c r="R30" i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7" i="18"/>
  <c r="T39" i="1" s="1"/>
  <c r="U27" i="18"/>
  <c r="T47" i="1" s="1"/>
  <c r="U28" i="18"/>
  <c r="T49" i="1" s="1"/>
  <c r="U31" i="18"/>
  <c r="T51" i="1" s="1"/>
  <c r="U32" i="18"/>
  <c r="U5" i="18"/>
  <c r="T43" i="1" s="1"/>
  <c r="U20" i="18"/>
  <c r="T29" i="1" s="1"/>
  <c r="U35" i="18"/>
  <c r="U38" i="18"/>
  <c r="U9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<sst xmlns="http://schemas.openxmlformats.org/spreadsheetml/2006/main" count="698" uniqueCount="178">
  <si>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</si>
  <si>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</si>
  <si>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</si>
  <si>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</si>
  <si>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</si>
  <si>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</si>
  <si>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</si>
  <si>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</si>
  <si>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</si>
  <si>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</si>
  <si>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</si>
  <si>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</si>
  <si>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</si>
  <si>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</si>
  <si>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</si>
  <si>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</si>
  <si>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</si>
  <si>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</si>
  <si>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</si>
  <si>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</si>
  <si>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</si>
  <si>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</si>
  <si>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</si>
  <si>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</si>
  <si>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</si>
  <si>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</si>
  <si>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</si>
  <si>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</si>
  <si>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</si>
  <si>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</si>
  <si>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</si>
  <si>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</si>
  <si>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</si>
  <si>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</si>
  <si>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</si>
  <si>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</si>
  <si>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</si>
  <si>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</si>
  <si>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</si>
  <si>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</si>
  <si>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</si>
  <si>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</si>
  <si>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</si>
  <si>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</si>
  <si>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</si>
  <si>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</si>
  <si>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</si>
  <si>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</si>
  <si>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</si>
  <si>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</si>
  <si>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</si>
  <si>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</si>
  <si>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</si>
  <si>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</si>
  <si>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</si>
  <si>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</si>
  <si>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</si>
  <si>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</si>
  <si>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</si>
  <si>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</si>
  <si>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</si>
  <si>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</si>
  <si>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</si>
  <si>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</si>
  <si>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</si>
  <si>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</si>
  <si>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</si>
  <si>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</si>
  <si>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</si>
  <si>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</si>
  <si>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</si>
  <si>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</si>
  <si>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</si>
  <si>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</si>
  <si>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</si>
  <si>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</si>
  <si>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</si>
  <si>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</si>
  <si>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</si>
  <si>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</si>
  <si>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</si>
  <si>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</si>
  <si>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</si>
  <si>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</si>
  <si>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</si>
  <si>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</si>
  <si>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</si>
  <si>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</si>
  <si>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</si>
  <si>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</si>
  <si>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</si>
  <si>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</si>
  <si>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</si>
  <si>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</si>
  <si>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</si>
  <si>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</si>
  <si>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</si>
  <si>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</si>
  <si>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</si>
  <si>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</si>
  <si>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</si>
  <si>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</si>
  <si>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</si>
  <si>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</si>
  <si>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</si>
  <si>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</si>
  <si>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</si>
  <si>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</si>
  <si>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</si>
  <si>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</si>
  <si>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</si>
  <si>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</si>
  <si>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</si>
  <si>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</si>
  <si>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</si>
  <si>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</si>
  <si>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</si>
  <si>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</si>
  <si>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</si>
  <si>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</si>
  <si>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</si>
  <si>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</si>
  <si>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</si>
  <si>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</si>
  <si>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</si>
  <si>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</si>
  <si>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</si>
  <si>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</si>
  <si>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</si>
  <si>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</si>
  <si>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</si>
  <si>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</si>
  <si>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</si>
  <si>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</si>
  <si>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</si>
  <si>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</si>
  <si>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</si>
  <si>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</si>
  <si>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</si>
  <si>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</si>
  <si>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</si>
  <si>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</si>
  <si>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</si>
  <si>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</si>
  <si>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</si>
  <si>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</si>
  <si>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</si>
  <si>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</si>
  <si>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</si>
  <si>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</si>
  <si>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</si>
  <si>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</si>
  <si>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</si>
  <si>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</si>
  <si>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</si>
  <si>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</si>
  <si>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</si>
  <si>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</si>
  <si>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</si>
  <si>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</si>
  <si>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</si>
  <si>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</si>
  <si>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</si>
  <si>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</si>
  <si>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</si>
  <si>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</si>
  <si>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</si>
  <si>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</si>
  <si>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</si>
  <si>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</si>
  <si>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</si>
  <si>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</si>
  <si>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</si>
  <si>
    <t>Kuper, Frank</t>
  </si>
  <si>
    <t>05955/988578</t>
  </si>
  <si>
    <t>Kuper, Jansen</t>
  </si>
  <si>
    <t>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</si>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</sst>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63</v>
      </c>
      <c r="L1" s="162"/>
      <c r="M1" s="161"/>
      <c r="N1" s="161"/>
      <c r="O1" s="161"/>
      <c r="P1" s="160" t="s">
        <v>69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63" t="s">
        <v>1</v>
      </c>
      <c r="K3" s="163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SV Sögel</v>
      </c>
      <c r="C6" s="155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346.2</v>
      </c>
      <c r="G6" s="36">
        <f>'Übersicht Gruppen'!F2</f>
        <v>319</v>
      </c>
      <c r="H6" s="36">
        <f>'Übersicht Gruppen'!G2</f>
        <v>188.6</v>
      </c>
      <c r="I6" s="36">
        <f>'Übersicht Gruppen'!H2</f>
        <v>0</v>
      </c>
      <c r="J6" s="37">
        <f>'Übersicht Gruppen'!I2</f>
        <v>301.89999999999998</v>
      </c>
      <c r="K6" s="38">
        <f t="shared" ref="K6:K17" si="0">SUM(D6:I6)</f>
        <v>1509.5</v>
      </c>
      <c r="L6" s="36">
        <f>'Übersicht Gruppen'!K2</f>
        <v>338.4</v>
      </c>
      <c r="M6" s="36">
        <f>'Übersicht Gruppen'!L2</f>
        <v>335.6</v>
      </c>
      <c r="N6" s="36">
        <f>'Übersicht Gruppen'!M2</f>
        <v>355.5</v>
      </c>
      <c r="O6" s="36">
        <f>'Übersicht Gruppen'!N2</f>
        <v>333</v>
      </c>
      <c r="P6" s="36">
        <f>'Übersicht Gruppen'!O2</f>
        <v>336.79999999999995</v>
      </c>
      <c r="Q6" s="36">
        <f>'Übersicht Gruppen'!P2</f>
        <v>352.79999999999995</v>
      </c>
      <c r="R6" s="37">
        <f>'Übersicht Gruppen'!Q2</f>
        <v>342.01666666666665</v>
      </c>
      <c r="S6" s="38">
        <f t="shared" ref="S6:S17" si="1">SUM(L6:Q6)</f>
        <v>2052.1</v>
      </c>
      <c r="T6" s="37">
        <f>'Übersicht Gruppen'!S2</f>
        <v>323.78181818181821</v>
      </c>
      <c r="U6" s="38">
        <f>SUM(S6+K6)</f>
        <v>3561.6</v>
      </c>
      <c r="V6" s="159"/>
    </row>
    <row r="7" spans="1:22" ht="20.25" customHeight="1" x14ac:dyDescent="0.25">
      <c r="A7" s="39">
        <v>2</v>
      </c>
      <c r="B7" s="156" t="str">
        <f>'Übersicht Gruppen'!B3</f>
        <v>SV Lähden</v>
      </c>
      <c r="C7" s="157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376.70000000000005</v>
      </c>
      <c r="G7" s="40">
        <f>'Übersicht Gruppen'!F3</f>
        <v>358.4</v>
      </c>
      <c r="H7" s="40">
        <f>'Übersicht Gruppen'!G3</f>
        <v>367.20000000000005</v>
      </c>
      <c r="I7" s="40">
        <f>'Übersicht Gruppen'!H3</f>
        <v>0</v>
      </c>
      <c r="J7" s="41">
        <f>'Übersicht Gruppen'!I3</f>
        <v>0</v>
      </c>
      <c r="K7" s="42">
        <f t="shared" si="0"/>
        <v>1652.5000000000002</v>
      </c>
      <c r="L7" s="40">
        <f>'Übersicht Gruppen'!K3</f>
        <v>190</v>
      </c>
      <c r="M7" s="40">
        <f>'Übersicht Gruppen'!L3</f>
        <v>372</v>
      </c>
      <c r="N7" s="40">
        <f>'Übersicht Gruppen'!M3</f>
        <v>372.8</v>
      </c>
      <c r="O7" s="40">
        <f>'Übersicht Gruppen'!N3</f>
        <v>189.2</v>
      </c>
      <c r="P7" s="40">
        <f>'Übersicht Gruppen'!O3</f>
        <v>378.70000000000005</v>
      </c>
      <c r="Q7" s="40">
        <f>'Übersicht Gruppen'!P3</f>
        <v>375.70000000000005</v>
      </c>
      <c r="R7" s="41">
        <f>'Übersicht Gruppen'!Q3</f>
        <v>0</v>
      </c>
      <c r="S7" s="42">
        <f t="shared" si="1"/>
        <v>1878.4</v>
      </c>
      <c r="T7" s="41">
        <f>'Übersicht Gruppen'!S3</f>
        <v>0</v>
      </c>
      <c r="U7" s="42">
        <f t="shared" ref="U7:U17" si="2">SUM(S7+K7)</f>
        <v>3530.9000000000005</v>
      </c>
      <c r="V7" s="42">
        <f>(U6-U7)*-1</f>
        <v>-30.699999999999363</v>
      </c>
    </row>
    <row r="8" spans="1:22" ht="20.25" customHeight="1" x14ac:dyDescent="0.25">
      <c r="A8" s="43">
        <v>3</v>
      </c>
      <c r="B8" s="154" t="str">
        <f>'Übersicht Gruppen'!B4</f>
        <v>SV Lorup</v>
      </c>
      <c r="C8" s="155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143</v>
      </c>
      <c r="H8" s="36">
        <f>'Übersicht Gruppen'!G4</f>
        <v>251.6</v>
      </c>
      <c r="I8" s="36">
        <f>'Übersicht Gruppen'!H4</f>
        <v>0</v>
      </c>
      <c r="J8" s="37">
        <f>'Übersicht Gruppen'!I4</f>
        <v>220.875</v>
      </c>
      <c r="K8" s="38">
        <f t="shared" si="0"/>
        <v>883.5</v>
      </c>
      <c r="L8" s="36">
        <f>'Übersicht Gruppen'!K4</f>
        <v>246.4</v>
      </c>
      <c r="M8" s="36">
        <f>'Übersicht Gruppen'!L4</f>
        <v>349.5</v>
      </c>
      <c r="N8" s="36">
        <f>'Übersicht Gruppen'!M4</f>
        <v>280.60000000000002</v>
      </c>
      <c r="O8" s="36">
        <f>'Übersicht Gruppen'!N4</f>
        <v>134.5</v>
      </c>
      <c r="P8" s="36">
        <f>'Übersicht Gruppen'!O4</f>
        <v>252.2</v>
      </c>
      <c r="Q8" s="36">
        <f>'Übersicht Gruppen'!P4</f>
        <v>253</v>
      </c>
      <c r="R8" s="37">
        <f>'Übersicht Gruppen'!Q4</f>
        <v>252.70000000000002</v>
      </c>
      <c r="S8" s="38">
        <f t="shared" si="1"/>
        <v>1516.2</v>
      </c>
      <c r="T8" s="37">
        <f>'Übersicht Gruppen'!S4</f>
        <v>239.96999999999997</v>
      </c>
      <c r="U8" s="38">
        <f t="shared" si="2"/>
        <v>2399.6999999999998</v>
      </c>
      <c r="V8" s="38">
        <f t="shared" ref="V8:V17" si="3">(U7-U8)*-1</f>
        <v>-1131.2000000000007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232.5</v>
      </c>
      <c r="H9" s="40">
        <f>'Übersicht Gruppen'!G5</f>
        <v>261.89999999999998</v>
      </c>
      <c r="I9" s="40">
        <f>'Übersicht Gruppen'!H5</f>
        <v>0</v>
      </c>
      <c r="J9" s="41">
        <f>'Übersicht Gruppen'!I5</f>
        <v>184.7</v>
      </c>
      <c r="K9" s="42">
        <f t="shared" si="0"/>
        <v>923.49999999999989</v>
      </c>
      <c r="L9" s="40">
        <f>'Übersicht Gruppen'!K5</f>
        <v>154.30000000000001</v>
      </c>
      <c r="M9" s="40">
        <f>'Übersicht Gruppen'!L5</f>
        <v>154.19999999999999</v>
      </c>
      <c r="N9" s="40">
        <f>'Übersicht Gruppen'!M5</f>
        <v>149.69999999999999</v>
      </c>
      <c r="O9" s="40">
        <f>'Übersicht Gruppen'!N5</f>
        <v>137.69999999999999</v>
      </c>
      <c r="P9" s="40">
        <f>'Übersicht Gruppen'!O5</f>
        <v>151.4</v>
      </c>
      <c r="Q9" s="40">
        <f>'Übersicht Gruppen'!P5</f>
        <v>0</v>
      </c>
      <c r="R9" s="41">
        <f>'Übersicht Gruppen'!Q5</f>
        <v>124.55</v>
      </c>
      <c r="S9" s="42">
        <f t="shared" si="1"/>
        <v>747.3</v>
      </c>
      <c r="T9" s="41">
        <f>'Übersicht Gruppen'!S5</f>
        <v>151.8909090909091</v>
      </c>
      <c r="U9" s="42">
        <f t="shared" si="2"/>
        <v>1670.7999999999997</v>
      </c>
      <c r="V9" s="42">
        <f t="shared" si="3"/>
        <v>-728.90000000000009</v>
      </c>
    </row>
    <row r="10" spans="1:22" ht="20.25" customHeight="1" x14ac:dyDescent="0.25">
      <c r="A10" s="44">
        <v>5</v>
      </c>
      <c r="B10" s="154" t="str">
        <f>'Übersicht Gruppen'!B6</f>
        <v>SV Esterwegen</v>
      </c>
      <c r="C10" s="155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141.19999999999999</v>
      </c>
      <c r="M10" s="36">
        <f>'Übersicht Gruppen'!L6</f>
        <v>142.6</v>
      </c>
      <c r="N10" s="36">
        <f>'Übersicht Gruppen'!M6</f>
        <v>152.30000000000001</v>
      </c>
      <c r="O10" s="36">
        <f>'Übersicht Gruppen'!N6</f>
        <v>124.6</v>
      </c>
      <c r="P10" s="36">
        <f>'Übersicht Gruppen'!O6</f>
        <v>154.1</v>
      </c>
      <c r="Q10" s="36">
        <f>'Übersicht Gruppen'!P6</f>
        <v>109.1</v>
      </c>
      <c r="R10" s="37">
        <f>'Übersicht Gruppen'!Q6</f>
        <v>164.78</v>
      </c>
      <c r="S10" s="38">
        <f t="shared" si="1"/>
        <v>823.9</v>
      </c>
      <c r="T10" s="37">
        <f>'Übersicht Gruppen'!S6</f>
        <v>146.74999999999997</v>
      </c>
      <c r="U10" s="38">
        <f t="shared" si="2"/>
        <v>1467.5</v>
      </c>
      <c r="V10" s="38">
        <f t="shared" si="3"/>
        <v>-203.29999999999973</v>
      </c>
    </row>
    <row r="11" spans="1:22" ht="20.25" customHeight="1" x14ac:dyDescent="0.2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-1467.5</v>
      </c>
    </row>
    <row r="12" spans="1:22" ht="20.25" customHeight="1" x14ac:dyDescent="0.25">
      <c r="A12" s="44">
        <v>7</v>
      </c>
      <c r="B12" s="154" t="str">
        <f>'Übersicht Gruppen'!B8</f>
        <v>Verein VII</v>
      </c>
      <c r="C12" s="155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6" t="str">
        <f>'Übersicht Gruppen'!B9</f>
        <v>Verein VIII</v>
      </c>
      <c r="C13" s="157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4" t="str">
        <f>'Übersicht Gruppen'!B10</f>
        <v>Verein IX</v>
      </c>
      <c r="C14" s="155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6" t="str">
        <f>'Übersicht Gruppen'!B11</f>
        <v>Verein X</v>
      </c>
      <c r="C15" s="157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203.55000000000004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178.38333333333333</v>
      </c>
      <c r="M19" s="36">
        <f t="shared" si="4"/>
        <v>225.64999999999998</v>
      </c>
      <c r="N19" s="36">
        <f t="shared" si="4"/>
        <v>218.48333333333332</v>
      </c>
      <c r="O19" s="36">
        <f t="shared" si="4"/>
        <v>153.16666666666669</v>
      </c>
      <c r="P19" s="36">
        <f t="shared" si="4"/>
        <v>212.20000000000002</v>
      </c>
      <c r="Q19" s="36">
        <f t="shared" si="4"/>
        <v>181.76666666666665</v>
      </c>
      <c r="R19" s="37">
        <f t="shared" si="4"/>
        <v>147.3411111111111</v>
      </c>
      <c r="S19" s="36">
        <f t="shared" si="4"/>
        <v>1169.6499999999999</v>
      </c>
      <c r="T19" s="37">
        <f t="shared" si="4"/>
        <v>143.7321212121212</v>
      </c>
      <c r="U19" s="38">
        <f t="shared" si="4"/>
        <v>2105.0833333333335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Hannebohm Lennard</v>
      </c>
      <c r="C23" s="88" t="str">
        <f>'Übersicht Schützen'!B2</f>
        <v>SV Sögel</v>
      </c>
      <c r="D23" s="55">
        <f>'Übersicht Schützen'!C2</f>
        <v>177.2</v>
      </c>
      <c r="E23" s="38">
        <f>'Übersicht Schützen'!D2</f>
        <v>177.6</v>
      </c>
      <c r="F23" s="38">
        <f>'Übersicht Schützen'!E2</f>
        <v>186</v>
      </c>
      <c r="G23" s="38">
        <f>'Übersicht Schützen'!F2</f>
        <v>160.9</v>
      </c>
      <c r="H23" s="38">
        <f>'Übersicht Schützen'!G2</f>
        <v>188.6</v>
      </c>
      <c r="I23" s="38">
        <f>'Übersicht Schützen'!H2</f>
        <v>0</v>
      </c>
      <c r="J23" s="56">
        <f>'Übersicht Schützen'!I2</f>
        <v>178.06</v>
      </c>
      <c r="K23" s="38">
        <f>SUM(D23:I23)</f>
        <v>890.3</v>
      </c>
      <c r="L23" s="38">
        <f>'Übersicht Schützen'!L2</f>
        <v>178.6</v>
      </c>
      <c r="M23" s="38">
        <f>'Übersicht Schützen'!M2</f>
        <v>183</v>
      </c>
      <c r="N23" s="38">
        <f>'Übersicht Schützen'!N2</f>
        <v>185.8</v>
      </c>
      <c r="O23" s="38">
        <f>'Übersicht Schützen'!O2</f>
        <v>182.5</v>
      </c>
      <c r="P23" s="38">
        <f>'Übersicht Schützen'!P2</f>
        <v>181.1</v>
      </c>
      <c r="Q23" s="38">
        <f>'Übersicht Schützen'!Q2</f>
        <v>185.6</v>
      </c>
      <c r="R23" s="56">
        <f>'Übersicht Schützen'!R2</f>
        <v>182.76666666666668</v>
      </c>
      <c r="S23" s="38">
        <f>SUM(L23:Q23)</f>
        <v>1096.6000000000001</v>
      </c>
      <c r="T23" s="56">
        <f>'Übersicht Schützen'!U2</f>
        <v>180.6272727272727</v>
      </c>
      <c r="U23" s="38">
        <f>SUM(K23+S23)</f>
        <v>1986.9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Flint Sina</v>
      </c>
      <c r="C24" s="89" t="str">
        <f>'Übersicht Schützen'!B3</f>
        <v>SV Lähden</v>
      </c>
      <c r="D24" s="58">
        <f>'Übersicht Schützen'!C3</f>
        <v>180.4</v>
      </c>
      <c r="E24" s="42">
        <f>'Übersicht Schützen'!D3</f>
        <v>190.5</v>
      </c>
      <c r="F24" s="42">
        <f>'Übersicht Schützen'!E3</f>
        <v>188.4</v>
      </c>
      <c r="G24" s="42">
        <f>'Übersicht Schützen'!F3</f>
        <v>186.8</v>
      </c>
      <c r="H24" s="42">
        <f>'Übersicht Schützen'!G3</f>
        <v>189.3</v>
      </c>
      <c r="I24" s="42">
        <f>'Übersicht Schützen'!H3</f>
        <v>0</v>
      </c>
      <c r="J24" s="59">
        <f>'Übersicht Schützen'!I3</f>
        <v>187.07999999999998</v>
      </c>
      <c r="K24" s="42">
        <f>SUM(D24:I24)</f>
        <v>935.39999999999986</v>
      </c>
      <c r="L24" s="42">
        <f>'Übersicht Schützen'!L3</f>
        <v>190</v>
      </c>
      <c r="M24" s="42">
        <f>'Übersicht Schützen'!M3</f>
        <v>186.3</v>
      </c>
      <c r="N24" s="42">
        <f>'Übersicht Schützen'!N3</f>
        <v>184.9</v>
      </c>
      <c r="O24" s="42">
        <f>'Übersicht Schützen'!O3</f>
        <v>0</v>
      </c>
      <c r="P24" s="42">
        <f>'Übersicht Schützen'!P3</f>
        <v>186.8</v>
      </c>
      <c r="Q24" s="42">
        <f>'Übersicht Schützen'!Q3</f>
        <v>181.3</v>
      </c>
      <c r="R24" s="59">
        <f>'Übersicht Schützen'!R3</f>
        <v>185.85999999999999</v>
      </c>
      <c r="S24" s="42">
        <f t="shared" ref="S24:S58" si="5">SUM(L24:Q24)</f>
        <v>929.3</v>
      </c>
      <c r="T24" s="59">
        <f>'Übersicht Schützen'!U3</f>
        <v>186.46999999999997</v>
      </c>
      <c r="U24" s="42">
        <f t="shared" ref="U24:U58" si="6">SUM(K24+S24)</f>
        <v>1864.6999999999998</v>
      </c>
      <c r="V24" s="42">
        <f>(U23-U24)*-1</f>
        <v>-122.20000000000027</v>
      </c>
    </row>
    <row r="25" spans="1:22" s="51" customFormat="1" ht="18" customHeight="1" x14ac:dyDescent="0.25">
      <c r="A25" s="50">
        <v>3</v>
      </c>
      <c r="B25" s="54" t="str">
        <f>'Übersicht Schützen'!A4</f>
        <v>Preut Amelie</v>
      </c>
      <c r="C25" s="88" t="str">
        <f>'Übersicht Schützen'!B4</f>
        <v>SV Lähden</v>
      </c>
      <c r="D25" s="55">
        <f>'Übersicht Schützen'!C4</f>
        <v>179.3</v>
      </c>
      <c r="E25" s="38">
        <f>'Übersicht Schützen'!D4</f>
        <v>0</v>
      </c>
      <c r="F25" s="38">
        <f>'Übersicht Schützen'!E4</f>
        <v>188.3</v>
      </c>
      <c r="G25" s="38">
        <f>'Übersicht Schützen'!F4</f>
        <v>171.6</v>
      </c>
      <c r="H25" s="38">
        <f>'Übersicht Schützen'!G4</f>
        <v>177.9</v>
      </c>
      <c r="I25" s="38">
        <f>'Übersicht Schützen'!H4</f>
        <v>0</v>
      </c>
      <c r="J25" s="56">
        <f>'Übersicht Schützen'!I4</f>
        <v>179.27500000000001</v>
      </c>
      <c r="K25" s="38">
        <f t="shared" ref="K25:K58" si="7">SUM(D25:I25)</f>
        <v>717.1</v>
      </c>
      <c r="L25" s="38">
        <f>'Übersicht Schützen'!L4</f>
        <v>0</v>
      </c>
      <c r="M25" s="38">
        <f>'Übersicht Schützen'!M4</f>
        <v>185.7</v>
      </c>
      <c r="N25" s="38">
        <f>'Übersicht Schützen'!N4</f>
        <v>187.9</v>
      </c>
      <c r="O25" s="38">
        <f>'Übersicht Schützen'!O4</f>
        <v>189.2</v>
      </c>
      <c r="P25" s="38">
        <f>'Übersicht Schützen'!P4</f>
        <v>191.9</v>
      </c>
      <c r="Q25" s="38">
        <f>'Übersicht Schützen'!Q4</f>
        <v>194.4</v>
      </c>
      <c r="R25" s="56">
        <f>'Übersicht Schützen'!R4</f>
        <v>189.82</v>
      </c>
      <c r="S25" s="38">
        <f t="shared" si="5"/>
        <v>949.09999999999991</v>
      </c>
      <c r="T25" s="56">
        <f>'Übersicht Schützen'!U4</f>
        <v>185.13333333333335</v>
      </c>
      <c r="U25" s="38">
        <f t="shared" si="6"/>
        <v>1666.1999999999998</v>
      </c>
      <c r="V25" s="38">
        <f t="shared" ref="V25:V52" si="8">(U24-U25)*-1</f>
        <v>-198.5</v>
      </c>
    </row>
    <row r="26" spans="1:22" s="51" customFormat="1" ht="18" customHeight="1" x14ac:dyDescent="0.25">
      <c r="A26" s="52">
        <v>4</v>
      </c>
      <c r="B26" s="57" t="str">
        <f>'Übersicht Schützen'!A5</f>
        <v>Husmann Louisa</v>
      </c>
      <c r="C26" s="89" t="str">
        <f>'Übersicht Schützen'!B5</f>
        <v>SV Sögel</v>
      </c>
      <c r="D26" s="58">
        <f>'Übersicht Schützen'!C5</f>
        <v>145.4</v>
      </c>
      <c r="E26" s="42">
        <f>'Übersicht Schützen'!D5</f>
        <v>155.5</v>
      </c>
      <c r="F26" s="42">
        <f>'Übersicht Schützen'!E5</f>
        <v>160.19999999999999</v>
      </c>
      <c r="G26" s="42">
        <f>'Übersicht Schützen'!F5</f>
        <v>158.1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154.79999999999998</v>
      </c>
      <c r="K26" s="42">
        <f t="shared" si="7"/>
        <v>619.19999999999993</v>
      </c>
      <c r="L26" s="42">
        <f>'Übersicht Schützen'!L5</f>
        <v>159.80000000000001</v>
      </c>
      <c r="M26" s="42">
        <f>'Übersicht Schützen'!M5</f>
        <v>152.6</v>
      </c>
      <c r="N26" s="42">
        <f>'Übersicht Schützen'!N5</f>
        <v>169.7</v>
      </c>
      <c r="O26" s="42">
        <f>'Übersicht Schützen'!O5</f>
        <v>150.5</v>
      </c>
      <c r="P26" s="42">
        <f>'Übersicht Schützen'!P5</f>
        <v>155.69999999999999</v>
      </c>
      <c r="Q26" s="42">
        <f>'Übersicht Schützen'!Q5</f>
        <v>167.2</v>
      </c>
      <c r="R26" s="59">
        <f>'Übersicht Schützen'!R5</f>
        <v>159.25</v>
      </c>
      <c r="S26" s="42">
        <f t="shared" si="5"/>
        <v>955.5</v>
      </c>
      <c r="T26" s="59">
        <f>'Übersicht Schützen'!U5</f>
        <v>157.47</v>
      </c>
      <c r="U26" s="42">
        <f t="shared" si="6"/>
        <v>1574.6999999999998</v>
      </c>
      <c r="V26" s="42">
        <f t="shared" si="8"/>
        <v>-91.5</v>
      </c>
    </row>
    <row r="27" spans="1:22" s="51" customFormat="1" ht="18" customHeight="1" x14ac:dyDescent="0.25">
      <c r="A27" s="43">
        <v>5</v>
      </c>
      <c r="B27" s="54" t="str">
        <f>'Übersicht Schützen'!A6</f>
        <v>Runde Sebastian</v>
      </c>
      <c r="C27" s="88" t="str">
        <f>'Übersicht Schützen'!B6</f>
        <v>SV Spahnharrenstätte</v>
      </c>
      <c r="D27" s="55">
        <f>'Übersicht Schützen'!C6</f>
        <v>126.7</v>
      </c>
      <c r="E27" s="38">
        <f>'Übersicht Schützen'!D6</f>
        <v>153.69999999999999</v>
      </c>
      <c r="F27" s="38">
        <f>'Übersicht Schützen'!E6</f>
        <v>148.69999999999999</v>
      </c>
      <c r="G27" s="38">
        <f>'Übersicht Schützen'!F6</f>
        <v>145.1</v>
      </c>
      <c r="H27" s="38">
        <f>'Übersicht Schützen'!G6</f>
        <v>163.9</v>
      </c>
      <c r="I27" s="38">
        <f>'Übersicht Schützen'!H6</f>
        <v>0</v>
      </c>
      <c r="J27" s="56">
        <f>'Übersicht Schützen'!I6</f>
        <v>147.61999999999998</v>
      </c>
      <c r="K27" s="38">
        <f t="shared" si="7"/>
        <v>738.09999999999991</v>
      </c>
      <c r="L27" s="38">
        <f>'Übersicht Schützen'!L6</f>
        <v>154.30000000000001</v>
      </c>
      <c r="M27" s="38">
        <f>'Übersicht Schützen'!M6</f>
        <v>154.19999999999999</v>
      </c>
      <c r="N27" s="38">
        <f>'Übersicht Schützen'!N6</f>
        <v>149.69999999999999</v>
      </c>
      <c r="O27" s="38">
        <f>'Übersicht Schützen'!O6</f>
        <v>137.69999999999999</v>
      </c>
      <c r="P27" s="38">
        <f>'Übersicht Schützen'!P6</f>
        <v>151.4</v>
      </c>
      <c r="Q27" s="38">
        <f>'Übersicht Schützen'!Q6</f>
        <v>0</v>
      </c>
      <c r="R27" s="56">
        <f>'Übersicht Schützen'!R6</f>
        <v>149.45999999999998</v>
      </c>
      <c r="S27" s="38">
        <f t="shared" si="5"/>
        <v>747.3</v>
      </c>
      <c r="T27" s="56">
        <f>'Übersicht Schützen'!U6</f>
        <v>148.54000000000002</v>
      </c>
      <c r="U27" s="38">
        <f t="shared" si="6"/>
        <v>1485.3999999999999</v>
      </c>
      <c r="V27" s="38">
        <f t="shared" si="8"/>
        <v>-89.299999999999955</v>
      </c>
    </row>
    <row r="28" spans="1:22" s="51" customFormat="1" ht="18" customHeight="1" x14ac:dyDescent="0.25">
      <c r="A28" s="29">
        <v>6</v>
      </c>
      <c r="B28" s="57" t="str">
        <f>'Übersicht Schützen'!A7</f>
        <v>Rieke Thorben</v>
      </c>
      <c r="C28" s="89" t="str">
        <f>'Übersicht Schützen'!B7</f>
        <v>SV Esterwegen</v>
      </c>
      <c r="D28" s="58">
        <f>'Übersicht Schützen'!C7</f>
        <v>120.2</v>
      </c>
      <c r="E28" s="42">
        <f>'Übersicht Schützen'!D7</f>
        <v>103.6</v>
      </c>
      <c r="F28" s="42">
        <f>'Übersicht Schützen'!E7</f>
        <v>132.5</v>
      </c>
      <c r="G28" s="42">
        <f>'Übersicht Schützen'!F7</f>
        <v>135.30000000000001</v>
      </c>
      <c r="H28" s="42">
        <f>'Übersicht Schützen'!G7</f>
        <v>152</v>
      </c>
      <c r="I28" s="42">
        <f>'Übersicht Schützen'!H7</f>
        <v>0</v>
      </c>
      <c r="J28" s="59">
        <f>'Übersicht Schützen'!I7</f>
        <v>128.72</v>
      </c>
      <c r="K28" s="42">
        <f t="shared" si="7"/>
        <v>643.6</v>
      </c>
      <c r="L28" s="42">
        <f>'Übersicht Schützen'!L7</f>
        <v>141.19999999999999</v>
      </c>
      <c r="M28" s="42">
        <f>'Übersicht Schützen'!M7</f>
        <v>142.6</v>
      </c>
      <c r="N28" s="42">
        <f>'Übersicht Schützen'!N7</f>
        <v>152.30000000000001</v>
      </c>
      <c r="O28" s="42">
        <f>'Übersicht Schützen'!O7</f>
        <v>124.6</v>
      </c>
      <c r="P28" s="42">
        <f>'Übersicht Schützen'!P7</f>
        <v>154.1</v>
      </c>
      <c r="Q28" s="42">
        <f>'Übersicht Schützen'!Q7</f>
        <v>109.1</v>
      </c>
      <c r="R28" s="59">
        <f>'Übersicht Schützen'!R7</f>
        <v>137.31666666666666</v>
      </c>
      <c r="S28" s="42">
        <f t="shared" si="5"/>
        <v>823.9</v>
      </c>
      <c r="T28" s="59">
        <f>'Übersicht Schützen'!U7</f>
        <v>133.40909090909088</v>
      </c>
      <c r="U28" s="42">
        <f t="shared" si="6"/>
        <v>1467.5</v>
      </c>
      <c r="V28" s="42">
        <f t="shared" si="8"/>
        <v>-17.899999999999864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155</v>
      </c>
      <c r="I29" s="38">
        <f>'Übersicht Schützen'!H8</f>
        <v>0</v>
      </c>
      <c r="J29" s="56">
        <f>'Übersicht Schützen'!I8</f>
        <v>142.52500000000001</v>
      </c>
      <c r="K29" s="38">
        <f t="shared" si="7"/>
        <v>570.1</v>
      </c>
      <c r="L29" s="38">
        <f>'Übersicht Schützen'!L8</f>
        <v>150.80000000000001</v>
      </c>
      <c r="M29" s="38">
        <f>'Übersicht Schützen'!M8</f>
        <v>122.9</v>
      </c>
      <c r="N29" s="38">
        <f>'Übersicht Schützen'!N8</f>
        <v>153.6</v>
      </c>
      <c r="O29" s="38">
        <f>'Übersicht Schützen'!O8</f>
        <v>134.5</v>
      </c>
      <c r="P29" s="38">
        <f>'Übersicht Schützen'!P8</f>
        <v>140.5</v>
      </c>
      <c r="Q29" s="38">
        <f>'Übersicht Schützen'!Q8</f>
        <v>131.80000000000001</v>
      </c>
      <c r="R29" s="56">
        <f>'Übersicht Schützen'!R8</f>
        <v>139.01666666666668</v>
      </c>
      <c r="S29" s="38">
        <f t="shared" si="5"/>
        <v>834.10000000000014</v>
      </c>
      <c r="T29" s="56">
        <f>'Übersicht Schützen'!U8</f>
        <v>140.42000000000002</v>
      </c>
      <c r="U29" s="38">
        <f t="shared" si="6"/>
        <v>1404.2000000000003</v>
      </c>
      <c r="V29" s="38">
        <f t="shared" si="8"/>
        <v>-63.299999999999727</v>
      </c>
    </row>
    <row r="30" spans="1:22" s="51" customFormat="1" ht="18" customHeight="1" x14ac:dyDescent="0.25">
      <c r="A30" s="29">
        <v>8</v>
      </c>
      <c r="B30" s="57" t="str">
        <f>'Übersicht Schützen'!A9</f>
        <v>Kreuzhermes, Gerrit</v>
      </c>
      <c r="C30" s="89" t="str">
        <f>'Übersicht Schützen'!B9</f>
        <v>SV Lorup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96.6</v>
      </c>
      <c r="I30" s="42">
        <f>'Übersicht Schützen'!H9</f>
        <v>0</v>
      </c>
      <c r="J30" s="59">
        <f>'Übersicht Schützen'!I9</f>
        <v>96.6</v>
      </c>
      <c r="K30" s="42">
        <f t="shared" si="7"/>
        <v>96.6</v>
      </c>
      <c r="L30" s="42">
        <f>'Übersicht Schützen'!L9</f>
        <v>95.6</v>
      </c>
      <c r="M30" s="42">
        <f>'Übersicht Schützen'!M9</f>
        <v>107.9</v>
      </c>
      <c r="N30" s="42">
        <f>'Übersicht Schützen'!N9</f>
        <v>127</v>
      </c>
      <c r="O30" s="42">
        <f>'Übersicht Schützen'!O9</f>
        <v>0</v>
      </c>
      <c r="P30" s="42">
        <f>'Übersicht Schützen'!P9</f>
        <v>111.7</v>
      </c>
      <c r="Q30" s="42">
        <f>'Übersicht Schützen'!Q9</f>
        <v>121.2</v>
      </c>
      <c r="R30" s="59">
        <f>'Übersicht Schützen'!R9</f>
        <v>112.67999999999999</v>
      </c>
      <c r="S30" s="42">
        <f t="shared" si="5"/>
        <v>563.4</v>
      </c>
      <c r="T30" s="59">
        <f>'Übersicht Schützen'!U9</f>
        <v>110.00000000000001</v>
      </c>
      <c r="U30" s="42">
        <f t="shared" si="6"/>
        <v>660</v>
      </c>
      <c r="V30" s="42">
        <f t="shared" si="8"/>
        <v>-744.20000000000027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118.7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118.7</v>
      </c>
      <c r="S31" s="38">
        <f t="shared" si="5"/>
        <v>118.7</v>
      </c>
      <c r="T31" s="56">
        <f>'Übersicht Schützen'!U10</f>
        <v>112.30000000000001</v>
      </c>
      <c r="U31" s="38">
        <f t="shared" si="6"/>
        <v>224.60000000000002</v>
      </c>
      <c r="V31" s="38">
        <f t="shared" si="8"/>
        <v>-435.4</v>
      </c>
    </row>
    <row r="32" spans="1:22" s="51" customFormat="1" ht="18" customHeight="1" x14ac:dyDescent="0.25">
      <c r="A32" s="52">
        <v>10</v>
      </c>
      <c r="B32" s="57" t="str">
        <f>'Übersicht Schützen'!A11</f>
        <v>Leis Jan</v>
      </c>
      <c r="C32" s="89" t="str">
        <f>'Übersicht Schützen'!B11</f>
        <v>SV Spahnharrenstätte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87.4</v>
      </c>
      <c r="H32" s="42">
        <f>'Übersicht Schützen'!G11</f>
        <v>98</v>
      </c>
      <c r="I32" s="42">
        <f>'Übersicht Schützen'!H11</f>
        <v>0</v>
      </c>
      <c r="J32" s="59">
        <f>'Übersicht Schützen'!I11</f>
        <v>92.7</v>
      </c>
      <c r="K32" s="42">
        <f t="shared" si="7"/>
        <v>185.4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92.7</v>
      </c>
      <c r="U32" s="42">
        <f t="shared" si="6"/>
        <v>185.4</v>
      </c>
      <c r="V32" s="42">
        <f t="shared" si="8"/>
        <v>-39.200000000000017</v>
      </c>
    </row>
    <row r="33" spans="1:44" s="51" customFormat="1" ht="18" customHeight="1" x14ac:dyDescent="0.25">
      <c r="A33" s="50">
        <v>11</v>
      </c>
      <c r="B33" s="54" t="str">
        <f>'Übersicht Schützen'!A12</f>
        <v>Helmer Nils</v>
      </c>
      <c r="C33" s="88" t="str">
        <f>'Übersicht Schützen'!B12</f>
        <v>SV Lorup</v>
      </c>
      <c r="D33" s="55">
        <f>'Übersicht Schützen'!C12</f>
        <v>110.9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110.9</v>
      </c>
      <c r="K33" s="38">
        <f t="shared" si="7"/>
        <v>110.9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110.9</v>
      </c>
      <c r="U33" s="38">
        <f t="shared" si="6"/>
        <v>110.9</v>
      </c>
      <c r="V33" s="38">
        <f t="shared" si="8"/>
        <v>-74.5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 t="str">
        <f>'Übersicht Schützen'!Q13</f>
        <v xml:space="preserve"> 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-110.9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 t="str">
        <f>'Übersicht Schützen'!Q14</f>
        <v xml:space="preserve"> 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 t="str">
        <f>'Übersicht Schützen'!Q15</f>
        <v xml:space="preserve"> 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143.01111111111115</v>
      </c>
      <c r="E84" s="36">
        <f>IF(Formelhilfe!C75 &gt; 0, SUM(E23:E82)/Formelhilfe!C75, 0)</f>
        <v>156.18</v>
      </c>
      <c r="F84" s="36">
        <f>IF(Formelhilfe!D75 &gt; 0, SUM(F23:F82)/Formelhilfe!D75, 0)</f>
        <v>162.15714285714287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152.66249999999997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152.9</v>
      </c>
      <c r="M84" s="36">
        <f>IF(Formelhilfe!J75 &gt; 0, SUM(M23:M82)/Formelhilfe!J75, 0)</f>
        <v>150.43333333333334</v>
      </c>
      <c r="N84" s="36">
        <f>IF(Formelhilfe!K75 &gt; 0, SUM(N23:N82)/Formelhilfe!K75, 0)</f>
        <v>163.86249999999998</v>
      </c>
      <c r="O84" s="36">
        <f>IF(Formelhilfe!L75 &gt; 0, SUM(O23:O82)/Formelhilfe!L75, 0)</f>
        <v>153.16666666666669</v>
      </c>
      <c r="P84" s="36">
        <f>IF(Formelhilfe!M75 &gt; 0, SUM(P23:P82)/Formelhilfe!M75, 0)</f>
        <v>159.15</v>
      </c>
      <c r="Q84" s="36">
        <f>IF(Formelhilfe!N75 &gt; 0, SUM(Q23:Q82)/Formelhilfe!N75, 0)</f>
        <v>109.06000000000002</v>
      </c>
      <c r="R84" s="37">
        <f>IF(SUM(R23:R82)&lt;&gt;0,AVERAGEIF(R23:R82,"&lt;&gt;0"),0)</f>
        <v>152.76333333333335</v>
      </c>
      <c r="S84" s="37">
        <f>IF(SUM(S23:S82)&lt;&gt;0,AVERAGEIF(S23:S82,"&lt;&gt;0"),0)</f>
        <v>779.76666666666665</v>
      </c>
      <c r="T84" s="37">
        <f>IF(SUM(T23:T82)&lt;&gt;0,AVERAGEIF(T23:T82,"&lt;&gt;0"),0)</f>
        <v>141.63360881542701</v>
      </c>
      <c r="U84" s="112">
        <f>(K84+S84)</f>
        <v>1290.0030303030303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E21" sqref="E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355.5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280.60000000000002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149.69999999999999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152.30000000000001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187.9</v>
      </c>
      <c r="E16" s="82"/>
      <c r="F16" s="67">
        <f>IF(E16="x","0",D16)</f>
        <v>187.9</v>
      </c>
      <c r="G16" s="68">
        <f>IF(C16=$B$2,F16,0)</f>
        <v>187.9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184.9</v>
      </c>
      <c r="E17" s="82"/>
      <c r="F17" s="67">
        <f t="shared" ref="F17:F75" si="0">IF(E17="x","0",D17)</f>
        <v>184.9</v>
      </c>
      <c r="G17" s="68">
        <f t="shared" ref="G17:G75" si="1">IF(C17=$B$2,F17,0)</f>
        <v>184.9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 t="s">
        <v>176</v>
      </c>
      <c r="F18" s="67" t="str">
        <f t="shared" si="0"/>
        <v>0</v>
      </c>
      <c r="G18" s="68" t="str">
        <f t="shared" si="1"/>
        <v>0</v>
      </c>
      <c r="H18" s="68">
        <f t="shared" si="2"/>
        <v>0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 t="s">
        <v>176</v>
      </c>
      <c r="F19" s="67" t="str">
        <f t="shared" si="0"/>
        <v>0</v>
      </c>
      <c r="G19" s="68" t="str">
        <f t="shared" si="1"/>
        <v>0</v>
      </c>
      <c r="H19" s="68">
        <f t="shared" si="2"/>
        <v>0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 t="s">
        <v>176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169.7</v>
      </c>
      <c r="E21" s="82"/>
      <c r="F21" s="67">
        <f t="shared" si="0"/>
        <v>169.7</v>
      </c>
      <c r="G21" s="68">
        <f t="shared" si="1"/>
        <v>0</v>
      </c>
      <c r="H21" s="68">
        <f t="shared" si="2"/>
        <v>0</v>
      </c>
      <c r="I21" s="68">
        <f t="shared" si="3"/>
        <v>169.7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185.8</v>
      </c>
      <c r="E22" s="82"/>
      <c r="F22" s="67">
        <f t="shared" si="0"/>
        <v>185.8</v>
      </c>
      <c r="G22" s="68">
        <f t="shared" si="1"/>
        <v>0</v>
      </c>
      <c r="H22" s="68">
        <f t="shared" si="2"/>
        <v>0</v>
      </c>
      <c r="I22" s="68">
        <f t="shared" si="3"/>
        <v>185.8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 t="s">
        <v>176</v>
      </c>
      <c r="F23" s="67" t="str">
        <f t="shared" si="0"/>
        <v>0</v>
      </c>
      <c r="G23" s="68">
        <f t="shared" si="1"/>
        <v>0</v>
      </c>
      <c r="H23" s="68">
        <f t="shared" si="2"/>
        <v>0</v>
      </c>
      <c r="I23" s="68" t="str">
        <f t="shared" si="3"/>
        <v>0</v>
      </c>
      <c r="J23" s="68">
        <f t="shared" si="4"/>
        <v>0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 t="s">
        <v>176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 t="s">
        <v>176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>
        <v>0</v>
      </c>
      <c r="E26" s="82" t="s">
        <v>176</v>
      </c>
      <c r="F26" s="67" t="str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 t="str">
        <f t="shared" si="5"/>
        <v>0</v>
      </c>
      <c r="L26" s="68">
        <f t="shared" si="6"/>
        <v>0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0</v>
      </c>
      <c r="E27" s="82" t="s">
        <v>176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153.6</v>
      </c>
      <c r="E28" s="82"/>
      <c r="F28" s="67">
        <f t="shared" si="0"/>
        <v>153.6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153.6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127</v>
      </c>
      <c r="E29" s="82"/>
      <c r="F29" s="67">
        <f t="shared" si="0"/>
        <v>127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127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 t="s">
        <v>176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149.69999999999999</v>
      </c>
      <c r="E31" s="82"/>
      <c r="F31" s="67">
        <f t="shared" si="0"/>
        <v>149.69999999999999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149.69999999999999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0</v>
      </c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 t="s">
        <v>176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176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176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152.30000000000001</v>
      </c>
      <c r="E36" s="82"/>
      <c r="F36" s="67">
        <f t="shared" si="0"/>
        <v>152.30000000000001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 t="s">
        <v>176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 t="s">
        <v>176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 t="s">
        <v>176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 t="s">
        <v>176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372.8</v>
      </c>
      <c r="H76" s="68">
        <f>SUM(H16:H75)</f>
        <v>2</v>
      </c>
      <c r="I76" s="68">
        <f>LARGE(I16:I75,1)+LARGE(I16:I75,2)+LARGE(I16:I75,3)</f>
        <v>355.5</v>
      </c>
      <c r="J76" s="68">
        <f>SUM(J16:J75)</f>
        <v>2</v>
      </c>
      <c r="K76" s="68">
        <f>LARGE(K16:K75,1)+LARGE(K16:K75,2)+LARGE(K16:K75,3)</f>
        <v>280.60000000000002</v>
      </c>
      <c r="L76" s="68">
        <f>SUM(L16:L75)</f>
        <v>2</v>
      </c>
      <c r="M76" s="68">
        <f>LARGE(M16:M75,1)+LARGE(M16:M75,2)+LARGE(M16:M75,3)</f>
        <v>149.69999999999999</v>
      </c>
      <c r="N76" s="68">
        <f>SUM(N16:N75)</f>
        <v>2</v>
      </c>
      <c r="O76" s="68">
        <f>LARGE(O16:O75,1)+LARGE(O16:O75,2)+LARGE(O16:O75,3)</f>
        <v>152.30000000000001</v>
      </c>
      <c r="P76" s="68">
        <f>SUM(P16:P75)</f>
        <v>1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topLeftCell="A4"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189.2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333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137.69999999999999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124.6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189.2</v>
      </c>
      <c r="E16" s="82"/>
      <c r="F16" s="67">
        <f>IF(E16="x","0",D16)</f>
        <v>189.2</v>
      </c>
      <c r="G16" s="68">
        <f>IF(C16=$B$2,F16,0)</f>
        <v>189.2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150.5</v>
      </c>
      <c r="E21" s="82"/>
      <c r="F21" s="67">
        <f t="shared" si="0"/>
        <v>150.5</v>
      </c>
      <c r="G21" s="68">
        <f t="shared" si="1"/>
        <v>0</v>
      </c>
      <c r="H21" s="68">
        <f t="shared" si="2"/>
        <v>0</v>
      </c>
      <c r="I21" s="68">
        <f t="shared" si="3"/>
        <v>150.5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182.5</v>
      </c>
      <c r="E22" s="82"/>
      <c r="F22" s="67">
        <f t="shared" si="0"/>
        <v>182.5</v>
      </c>
      <c r="G22" s="68">
        <f t="shared" si="1"/>
        <v>0</v>
      </c>
      <c r="H22" s="68">
        <f t="shared" si="2"/>
        <v>0</v>
      </c>
      <c r="I22" s="68">
        <f t="shared" si="3"/>
        <v>182.5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134.5</v>
      </c>
      <c r="E28" s="82"/>
      <c r="F28" s="67">
        <f t="shared" si="0"/>
        <v>134.5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134.5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137.69999999999999</v>
      </c>
      <c r="E31" s="82"/>
      <c r="F31" s="67">
        <f t="shared" si="0"/>
        <v>137.69999999999999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137.69999999999999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124.6</v>
      </c>
      <c r="E36" s="82"/>
      <c r="F36" s="67">
        <f t="shared" si="0"/>
        <v>124.6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124.6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189.2</v>
      </c>
      <c r="H76" s="68">
        <f>SUM(H16:H75)</f>
        <v>5</v>
      </c>
      <c r="I76" s="68">
        <f>LARGE(I16:I75,1)+LARGE(I16:I75,2)+LARGE(I16:I75,3)</f>
        <v>333</v>
      </c>
      <c r="J76" s="68">
        <f>SUM(J16:J75)</f>
        <v>5</v>
      </c>
      <c r="K76" s="68">
        <f>LARGE(K16:K75,1)+LARGE(K16:K75,2)+LARGE(K16:K75,3)</f>
        <v>134.5</v>
      </c>
      <c r="L76" s="68">
        <f>SUM(L16:L75)</f>
        <v>5</v>
      </c>
      <c r="M76" s="68">
        <f>LARGE(M16:M75,1)+LARGE(M16:M75,2)+LARGE(M16:M75,3)</f>
        <v>137.69999999999999</v>
      </c>
      <c r="N76" s="68">
        <f>SUM(N16:N75)</f>
        <v>5</v>
      </c>
      <c r="O76" s="68">
        <f>LARGE(O16:O75,1)+LARGE(O16:O75,2)+LARGE(O16:O75,3)</f>
        <v>124.6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topLeftCell="A4" workbookViewId="0">
      <selection activeCell="E20" sqref="E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378.70000000000005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336.79999999999995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252.2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151.4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154.1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191.9</v>
      </c>
      <c r="E16" s="82"/>
      <c r="F16" s="67">
        <f>IF(E16="x","0",D16)</f>
        <v>191.9</v>
      </c>
      <c r="G16" s="68">
        <f>IF(C16=$B$2,F16,0)</f>
        <v>191.9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155.69999999999999</v>
      </c>
      <c r="E21" s="82"/>
      <c r="F21" s="67">
        <f t="shared" si="0"/>
        <v>155.69999999999999</v>
      </c>
      <c r="G21" s="68">
        <f t="shared" si="1"/>
        <v>0</v>
      </c>
      <c r="H21" s="68">
        <f t="shared" si="2"/>
        <v>0</v>
      </c>
      <c r="I21" s="68">
        <f t="shared" si="3"/>
        <v>155.69999999999999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181.1</v>
      </c>
      <c r="E22" s="82"/>
      <c r="F22" s="67">
        <f t="shared" si="0"/>
        <v>181.1</v>
      </c>
      <c r="G22" s="68">
        <f t="shared" si="1"/>
        <v>0</v>
      </c>
      <c r="H22" s="68">
        <f t="shared" si="2"/>
        <v>0</v>
      </c>
      <c r="I22" s="68">
        <f t="shared" si="3"/>
        <v>181.1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140.5</v>
      </c>
      <c r="E28" s="82"/>
      <c r="F28" s="67">
        <f t="shared" si="0"/>
        <v>140.5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140.5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111.7</v>
      </c>
      <c r="E29" s="82"/>
      <c r="F29" s="67">
        <f t="shared" si="0"/>
        <v>111.7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111.7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151.4</v>
      </c>
      <c r="E31" s="82"/>
      <c r="F31" s="67">
        <f t="shared" si="0"/>
        <v>151.4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151.4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154.1</v>
      </c>
      <c r="E36" s="82"/>
      <c r="F36" s="67">
        <f t="shared" si="0"/>
        <v>154.1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154.1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378.70000000000005</v>
      </c>
      <c r="H76" s="68">
        <f>SUM(H16:H75)</f>
        <v>5</v>
      </c>
      <c r="I76" s="68">
        <f>LARGE(I16:I75,1)+LARGE(I16:I75,2)+LARGE(I16:I75,3)</f>
        <v>336.79999999999995</v>
      </c>
      <c r="J76" s="68">
        <f>SUM(J16:J75)</f>
        <v>5</v>
      </c>
      <c r="K76" s="68">
        <f>LARGE(K16:K75,1)+LARGE(K16:K75,2)+LARGE(K16:K75,3)</f>
        <v>252.2</v>
      </c>
      <c r="L76" s="68">
        <f>SUM(L16:L75)</f>
        <v>5</v>
      </c>
      <c r="M76" s="68">
        <f>LARGE(M16:M75,1)+LARGE(M16:M75,2)+LARGE(M16:M75,3)</f>
        <v>151.4</v>
      </c>
      <c r="N76" s="68">
        <f>SUM(N16:N75)</f>
        <v>5</v>
      </c>
      <c r="O76" s="68">
        <f>LARGE(O16:O75,1)+LARGE(O16:O75,2)+LARGE(O16:O75,3)</f>
        <v>154.1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D16" sqref="D16:E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375.70000000000005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352.79999999999995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253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109.1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 xml:space="preserve"> 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83">
        <v>194.4</v>
      </c>
      <c r="E16" s="184"/>
      <c r="F16" s="67">
        <f>IF(E16="x","0",D16)</f>
        <v>194.4</v>
      </c>
      <c r="G16" s="68">
        <f>IF(C16=$B$2,F16,0)</f>
        <v>194.4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83">
        <v>181.3</v>
      </c>
      <c r="E17" s="184"/>
      <c r="F17" s="67">
        <f t="shared" ref="F17:F75" si="0">IF(E17="x","0",D17)</f>
        <v>181.3</v>
      </c>
      <c r="G17" s="68">
        <f t="shared" ref="G17:G75" si="1">IF(C17=$B$2,F17,0)</f>
        <v>181.3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83" t="s">
        <v>177</v>
      </c>
      <c r="E18" s="184" t="s">
        <v>176</v>
      </c>
      <c r="F18" s="67" t="str">
        <f t="shared" si="0"/>
        <v>0</v>
      </c>
      <c r="G18" s="68" t="str">
        <f t="shared" si="1"/>
        <v>0</v>
      </c>
      <c r="H18" s="68">
        <f t="shared" si="2"/>
        <v>0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83" t="s">
        <v>177</v>
      </c>
      <c r="E19" s="184" t="s">
        <v>176</v>
      </c>
      <c r="F19" s="67" t="str">
        <f t="shared" si="0"/>
        <v>0</v>
      </c>
      <c r="G19" s="68" t="str">
        <f t="shared" si="1"/>
        <v>0</v>
      </c>
      <c r="H19" s="68">
        <f t="shared" si="2"/>
        <v>0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83" t="s">
        <v>177</v>
      </c>
      <c r="E20" s="184" t="s">
        <v>176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83">
        <v>167.2</v>
      </c>
      <c r="E21" s="184"/>
      <c r="F21" s="67">
        <f t="shared" si="0"/>
        <v>167.2</v>
      </c>
      <c r="G21" s="68">
        <f t="shared" si="1"/>
        <v>0</v>
      </c>
      <c r="H21" s="68">
        <f t="shared" si="2"/>
        <v>0</v>
      </c>
      <c r="I21" s="68">
        <f t="shared" si="3"/>
        <v>167.2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83">
        <v>185.6</v>
      </c>
      <c r="E22" s="184"/>
      <c r="F22" s="67">
        <f t="shared" si="0"/>
        <v>185.6</v>
      </c>
      <c r="G22" s="68">
        <f t="shared" si="1"/>
        <v>0</v>
      </c>
      <c r="H22" s="68">
        <f t="shared" si="2"/>
        <v>0</v>
      </c>
      <c r="I22" s="68">
        <f t="shared" si="3"/>
        <v>185.6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83"/>
      <c r="E23" s="184" t="s">
        <v>176</v>
      </c>
      <c r="F23" s="67" t="str">
        <f t="shared" si="0"/>
        <v>0</v>
      </c>
      <c r="G23" s="68">
        <f t="shared" si="1"/>
        <v>0</v>
      </c>
      <c r="H23" s="68">
        <f t="shared" si="2"/>
        <v>0</v>
      </c>
      <c r="I23" s="68" t="str">
        <f t="shared" si="3"/>
        <v>0</v>
      </c>
      <c r="J23" s="68">
        <f t="shared" si="4"/>
        <v>0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83"/>
      <c r="E24" s="184" t="s">
        <v>176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83"/>
      <c r="E25" s="184" t="s">
        <v>176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83"/>
      <c r="E26" s="184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83"/>
      <c r="E27" s="184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83">
        <v>131.80000000000001</v>
      </c>
      <c r="E28" s="184"/>
      <c r="F28" s="67">
        <f t="shared" si="0"/>
        <v>131.80000000000001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183">
        <v>121.2</v>
      </c>
      <c r="E29" s="184"/>
      <c r="F29" s="67">
        <f t="shared" si="0"/>
        <v>121.2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121.2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83"/>
      <c r="E30" s="184" t="s">
        <v>176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83"/>
      <c r="E31" s="184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183"/>
      <c r="E32" s="184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184" t="s">
        <v>176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 t="s">
        <v>176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 t="s">
        <v>176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83">
        <v>109.1</v>
      </c>
      <c r="E36" s="184"/>
      <c r="F36" s="67">
        <f t="shared" si="0"/>
        <v>109.1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109.1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183"/>
      <c r="E37" s="184" t="s">
        <v>176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183"/>
      <c r="E38" s="184" t="s">
        <v>176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183"/>
      <c r="E39" s="184" t="s">
        <v>176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183"/>
      <c r="E40" s="184" t="s">
        <v>176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183"/>
      <c r="E41" s="184" t="s">
        <v>176</v>
      </c>
      <c r="F41" s="67" t="str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 t="str">
        <f t="shared" si="11"/>
        <v>0</v>
      </c>
      <c r="R41" s="68">
        <f t="shared" si="12"/>
        <v>0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375.70000000000005</v>
      </c>
      <c r="H76" s="68">
        <f>SUM(H16:H75)</f>
        <v>2</v>
      </c>
      <c r="I76" s="68">
        <f>LARGE(I16:I75,1)+LARGE(I16:I75,2)+LARGE(I16:I75,3)</f>
        <v>352.79999999999995</v>
      </c>
      <c r="J76" s="68">
        <f>SUM(J16:J75)</f>
        <v>2</v>
      </c>
      <c r="K76" s="68">
        <f>LARGE(K16:K75,1)+LARGE(K16:K75,2)+LARGE(K16:K75,3)</f>
        <v>253</v>
      </c>
      <c r="L76" s="68">
        <f>SUM(L16:L75)</f>
        <v>4</v>
      </c>
      <c r="M76" s="68">
        <f>LARGE(M16:M75,1)+LARGE(M16:M75,2)+LARGE(M16:M75,3)</f>
        <v>0</v>
      </c>
      <c r="N76" s="68">
        <f>SUM(N16:N75)</f>
        <v>2</v>
      </c>
      <c r="O76" s="68">
        <f>LARGE(O16:O75,1)+LARGE(O16:O75,2)+LARGE(O16:O75,3)</f>
        <v>109.1</v>
      </c>
      <c r="P76" s="68">
        <f>SUM(P16:P75)</f>
        <v>1</v>
      </c>
      <c r="Q76" s="68">
        <f>LARGE(Q16:Q75,1)+LARGE(Q16:Q75,2)+LARGE(Q16:Q75,3)</f>
        <v>0</v>
      </c>
      <c r="R76" s="68">
        <f>SUM(R16:R75)</f>
        <v>4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9" t="str">
        <f>Übersicht!P1</f>
        <v>Schüler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163</v>
      </c>
      <c r="B2" s="92" t="str">
        <f>VLOOKUP(A2,'Wettkampf 1'!$B$16:$C$75,2,FALSE)</f>
        <v>SV Sögel</v>
      </c>
      <c r="C2" s="9">
        <f>VLOOKUP(A2,'Wettkampf 1'!$B$16:$D$75,3,FALSE)</f>
        <v>177.2</v>
      </c>
      <c r="D2" s="9">
        <f>VLOOKUP($A2,'2'!$B$16:$D$75,3,FALSE)</f>
        <v>177.6</v>
      </c>
      <c r="E2" s="9">
        <f>VLOOKUP($A2,'3'!$B$10:$D$75,3,FALSE)</f>
        <v>186</v>
      </c>
      <c r="F2" s="9">
        <f>VLOOKUP($A2,'4'!$B$10:$D$75,3,FALSE)</f>
        <v>160.9</v>
      </c>
      <c r="G2" s="9">
        <f>VLOOKUP($A2,'5'!$B$10:$D$75,3,FALSE)</f>
        <v>188.6</v>
      </c>
      <c r="H2" s="9">
        <f>VLOOKUP($A2,'6'!$B$10:$D$75,3,FALSE)</f>
        <v>0</v>
      </c>
      <c r="I2" s="9">
        <f>IF(J2 &gt; 0,K2/J2,0)</f>
        <v>178.06</v>
      </c>
      <c r="J2" s="9">
        <f>VLOOKUP(A2,Formelhilfe!$A$15:$H$74,8,FALSE)</f>
        <v>5</v>
      </c>
      <c r="K2" s="10">
        <f>SUM(C2:H2)</f>
        <v>890.3</v>
      </c>
      <c r="L2" s="9">
        <f>VLOOKUP($A2,'7'!$B$10:$D$75,3,FALSE)</f>
        <v>178.6</v>
      </c>
      <c r="M2" s="9">
        <f>VLOOKUP($A2,'8'!$B$10:$D$75,3,FALSE)</f>
        <v>183</v>
      </c>
      <c r="N2" s="9">
        <f>VLOOKUP($A2,'9'!$B$10:$D$75,3,FALSE)</f>
        <v>185.8</v>
      </c>
      <c r="O2" s="9">
        <f>VLOOKUP($A2,'10'!$B$10:$D$75,3,FALSE)</f>
        <v>182.5</v>
      </c>
      <c r="P2" s="9">
        <f>VLOOKUP($A2,'11'!$B$10:$D$75,3,FALSE)</f>
        <v>181.1</v>
      </c>
      <c r="Q2" s="9">
        <f>VLOOKUP($A2,'12'!$B$10:$D$75,3,FALSE)</f>
        <v>185.6</v>
      </c>
      <c r="R2" s="10">
        <f>IF(S2 &gt;0,T2/S2,0)</f>
        <v>182.76666666666668</v>
      </c>
      <c r="S2" s="9">
        <f>VLOOKUP(A2,Formelhilfe!$A$15:$O$74,15,FALSE)</f>
        <v>6</v>
      </c>
      <c r="T2" s="10">
        <f>SUM(L2:Q2)</f>
        <v>1096.6000000000001</v>
      </c>
      <c r="U2" s="10">
        <f>IF(V2&gt;0,W2/V2,0)</f>
        <v>180.6272727272727</v>
      </c>
      <c r="V2" s="9">
        <f>VLOOKUP(A2,Formelhilfe!$A$15:$P$74,16,FALSE)</f>
        <v>11</v>
      </c>
      <c r="W2" s="11">
        <f>SUM(C2:H2,L2:Q2)</f>
        <v>1986.8999999999996</v>
      </c>
    </row>
    <row r="3" spans="1:23" ht="20.25" customHeight="1" x14ac:dyDescent="0.35">
      <c r="A3" s="106" t="s">
        <v>158</v>
      </c>
      <c r="B3" s="92" t="str">
        <f>VLOOKUP(A3,'Wettkampf 1'!$B$16:$C$75,2,FALSE)</f>
        <v>SV Lähden</v>
      </c>
      <c r="C3" s="9">
        <f>VLOOKUP(A3,'Wettkampf 1'!$B$16:$D$75,3,FALSE)</f>
        <v>180.4</v>
      </c>
      <c r="D3" s="9">
        <f>VLOOKUP($A3,'2'!$B$16:$D$75,3,FALSE)</f>
        <v>190.5</v>
      </c>
      <c r="E3" s="9">
        <f>VLOOKUP($A3,'3'!$B$10:$D$75,3,FALSE)</f>
        <v>188.4</v>
      </c>
      <c r="F3" s="9">
        <f>VLOOKUP($A3,'4'!$B$10:$D$75,3,FALSE)</f>
        <v>186.8</v>
      </c>
      <c r="G3" s="9">
        <f>VLOOKUP($A3,'5'!$B$10:$D$75,3,FALSE)</f>
        <v>189.3</v>
      </c>
      <c r="H3" s="9">
        <f>VLOOKUP($A3,'6'!$B$10:$D$75,3,FALSE)</f>
        <v>0</v>
      </c>
      <c r="I3" s="9">
        <f>IF(J3 &gt; 0,K3/J3,0)</f>
        <v>187.07999999999998</v>
      </c>
      <c r="J3" s="9">
        <f>VLOOKUP(A3,Formelhilfe!$A$15:$H$74,8,FALSE)</f>
        <v>5</v>
      </c>
      <c r="K3" s="10">
        <f>SUM(C3:H3)</f>
        <v>935.39999999999986</v>
      </c>
      <c r="L3" s="9">
        <f>VLOOKUP($A3,'7'!$B$10:$D$75,3,FALSE)</f>
        <v>190</v>
      </c>
      <c r="M3" s="9">
        <f>VLOOKUP($A3,'8'!$B$10:$D$75,3,FALSE)</f>
        <v>186.3</v>
      </c>
      <c r="N3" s="9">
        <f>VLOOKUP($A3,'9'!$B$10:$D$75,3,FALSE)</f>
        <v>184.9</v>
      </c>
      <c r="O3" s="9">
        <f>VLOOKUP($A3,'10'!$B$10:$D$75,3,FALSE)</f>
        <v>0</v>
      </c>
      <c r="P3" s="9">
        <f>VLOOKUP($A3,'11'!$B$10:$D$75,3,FALSE)</f>
        <v>186.8</v>
      </c>
      <c r="Q3" s="9">
        <f>VLOOKUP($A3,'12'!$B$10:$D$75,3,FALSE)</f>
        <v>181.3</v>
      </c>
      <c r="R3" s="10">
        <f>IF(S3 &gt;0,T3/S3,0)</f>
        <v>185.85999999999999</v>
      </c>
      <c r="S3" s="9">
        <f>VLOOKUP(A3,Formelhilfe!$A$15:$O$74,15,FALSE)</f>
        <v>5</v>
      </c>
      <c r="T3" s="10">
        <f>SUM(L3:Q3)</f>
        <v>929.3</v>
      </c>
      <c r="U3" s="10">
        <f>IF(V3&gt;0,W3/V3,0)</f>
        <v>186.46999999999997</v>
      </c>
      <c r="V3" s="9">
        <f>VLOOKUP(A3,Formelhilfe!$A$15:$P$74,16,FALSE)</f>
        <v>10</v>
      </c>
      <c r="W3" s="11">
        <f>SUM(C3:H3,L3:Q3)</f>
        <v>1864.6999999999998</v>
      </c>
    </row>
    <row r="4" spans="1:23" ht="20.25" customHeight="1" x14ac:dyDescent="0.35">
      <c r="A4" s="106" t="s">
        <v>157</v>
      </c>
      <c r="B4" s="92" t="str">
        <f>VLOOKUP(A4,'Wettkampf 1'!$B$16:$C$75,2,FALSE)</f>
        <v>SV Lähden</v>
      </c>
      <c r="C4" s="9">
        <f>VLOOKUP(A4,'Wettkampf 1'!$B$16:$D$75,3,FALSE)</f>
        <v>179.3</v>
      </c>
      <c r="D4" s="9">
        <f>VLOOKUP($A4,'2'!$B$16:$D$75,3,FALSE)</f>
        <v>0</v>
      </c>
      <c r="E4" s="9">
        <f>VLOOKUP($A4,'3'!$B$10:$D$75,3,FALSE)</f>
        <v>188.3</v>
      </c>
      <c r="F4" s="9">
        <f>VLOOKUP($A4,'4'!$B$10:$D$75,3,FALSE)</f>
        <v>171.6</v>
      </c>
      <c r="G4" s="9">
        <f>VLOOKUP($A4,'5'!$B$10:$D$75,3,FALSE)</f>
        <v>177.9</v>
      </c>
      <c r="H4" s="9">
        <f>VLOOKUP($A4,'6'!$B$10:$D$75,3,FALSE)</f>
        <v>0</v>
      </c>
      <c r="I4" s="9">
        <f>IF(J4 &gt; 0,K4/J4,0)</f>
        <v>179.27500000000001</v>
      </c>
      <c r="J4" s="9">
        <f>VLOOKUP(A4,Formelhilfe!$A$15:$H$74,8,FALSE)</f>
        <v>4</v>
      </c>
      <c r="K4" s="10">
        <f>SUM(C4:H4)</f>
        <v>717.1</v>
      </c>
      <c r="L4" s="9">
        <f>VLOOKUP($A4,'7'!$B$10:$D$75,3,FALSE)</f>
        <v>0</v>
      </c>
      <c r="M4" s="9">
        <f>VLOOKUP($A4,'8'!$B$10:$D$75,3,FALSE)</f>
        <v>185.7</v>
      </c>
      <c r="N4" s="9">
        <f>VLOOKUP($A4,'9'!$B$10:$D$75,3,FALSE)</f>
        <v>187.9</v>
      </c>
      <c r="O4" s="9">
        <f>VLOOKUP($A4,'10'!$B$10:$D$75,3,FALSE)</f>
        <v>189.2</v>
      </c>
      <c r="P4" s="9">
        <f>VLOOKUP($A4,'11'!$B$10:$D$75,3,FALSE)</f>
        <v>191.9</v>
      </c>
      <c r="Q4" s="9">
        <f>VLOOKUP($A4,'12'!$B$10:$D$75,3,FALSE)</f>
        <v>194.4</v>
      </c>
      <c r="R4" s="10">
        <f>IF(S4 &gt;0,T4/S4,0)</f>
        <v>189.82</v>
      </c>
      <c r="S4" s="9">
        <f>VLOOKUP(A4,Formelhilfe!$A$15:$O$74,15,FALSE)</f>
        <v>5</v>
      </c>
      <c r="T4" s="10">
        <f>SUM(L4:Q4)</f>
        <v>949.09999999999991</v>
      </c>
      <c r="U4" s="10">
        <f>IF(V4&gt;0,W4/V4,0)</f>
        <v>185.13333333333335</v>
      </c>
      <c r="V4" s="9">
        <f>VLOOKUP(A4,Formelhilfe!$A$15:$P$74,16,FALSE)</f>
        <v>9</v>
      </c>
      <c r="W4" s="11">
        <f>SUM(C4:H4,L4:Q4)</f>
        <v>1666.2000000000003</v>
      </c>
    </row>
    <row r="5" spans="1:23" ht="20.25" customHeight="1" x14ac:dyDescent="0.35">
      <c r="A5" s="106" t="s">
        <v>162</v>
      </c>
      <c r="B5" s="92" t="str">
        <f>VLOOKUP(A5,'Wettkampf 1'!$B$16:$C$75,2,FALSE)</f>
        <v>SV Sögel</v>
      </c>
      <c r="C5" s="9">
        <f>VLOOKUP(A5,'Wettkampf 1'!$B$16:$D$75,3,FALSE)</f>
        <v>145.4</v>
      </c>
      <c r="D5" s="9">
        <f>VLOOKUP($A5,'2'!$B$16:$D$75,3,FALSE)</f>
        <v>155.5</v>
      </c>
      <c r="E5" s="9">
        <f>VLOOKUP($A5,'3'!$B$10:$D$75,3,FALSE)</f>
        <v>160.19999999999999</v>
      </c>
      <c r="F5" s="9">
        <f>VLOOKUP($A5,'4'!$B$10:$D$75,3,FALSE)</f>
        <v>158.1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154.79999999999998</v>
      </c>
      <c r="J5" s="9">
        <f>VLOOKUP(A5,Formelhilfe!$A$15:$H$74,8,FALSE)</f>
        <v>4</v>
      </c>
      <c r="K5" s="10">
        <f>SUM(C5:H5)</f>
        <v>619.19999999999993</v>
      </c>
      <c r="L5" s="9">
        <f>VLOOKUP($A5,'7'!$B$10:$D$75,3,FALSE)</f>
        <v>159.80000000000001</v>
      </c>
      <c r="M5" s="9">
        <f>VLOOKUP($A5,'8'!$B$10:$D$75,3,FALSE)</f>
        <v>152.6</v>
      </c>
      <c r="N5" s="9">
        <f>VLOOKUP($A5,'9'!$B$10:$D$75,3,FALSE)</f>
        <v>169.7</v>
      </c>
      <c r="O5" s="9">
        <f>VLOOKUP($A5,'10'!$B$10:$D$75,3,FALSE)</f>
        <v>150.5</v>
      </c>
      <c r="P5" s="9">
        <f>VLOOKUP($A5,'11'!$B$10:$D$75,3,FALSE)</f>
        <v>155.69999999999999</v>
      </c>
      <c r="Q5" s="9">
        <f>VLOOKUP($A5,'12'!$B$10:$D$75,3,FALSE)</f>
        <v>167.2</v>
      </c>
      <c r="R5" s="10">
        <f>IF(S5 &gt;0,T5/S5,0)</f>
        <v>159.25</v>
      </c>
      <c r="S5" s="9">
        <f>VLOOKUP(A5,Formelhilfe!$A$15:$O$74,15,FALSE)</f>
        <v>6</v>
      </c>
      <c r="T5" s="10">
        <f>SUM(L5:Q5)</f>
        <v>955.5</v>
      </c>
      <c r="U5" s="10">
        <f>IF(V5&gt;0,W5/V5,0)</f>
        <v>157.47</v>
      </c>
      <c r="V5" s="9">
        <f>VLOOKUP(A5,Formelhilfe!$A$15:$P$74,16,FALSE)</f>
        <v>10</v>
      </c>
      <c r="W5" s="11">
        <f>SUM(C5:H5,L5:Q5)</f>
        <v>1574.7</v>
      </c>
    </row>
    <row r="6" spans="1:23" ht="20.25" customHeight="1" x14ac:dyDescent="0.35">
      <c r="A6" s="106" t="s">
        <v>166</v>
      </c>
      <c r="B6" s="92" t="str">
        <f>VLOOKUP(A6,'Wettkampf 1'!$B$16:$C$75,2,FALSE)</f>
        <v>SV Spahnharrenstätte</v>
      </c>
      <c r="C6" s="9">
        <f>VLOOKUP(A6,'Wettkampf 1'!$B$16:$D$75,3,FALSE)</f>
        <v>126.7</v>
      </c>
      <c r="D6" s="9">
        <f>VLOOKUP($A6,'2'!$B$16:$D$75,3,FALSE)</f>
        <v>153.69999999999999</v>
      </c>
      <c r="E6" s="9">
        <f>VLOOKUP($A6,'3'!$B$10:$D$75,3,FALSE)</f>
        <v>148.69999999999999</v>
      </c>
      <c r="F6" s="9">
        <f>VLOOKUP($A6,'4'!$B$10:$D$75,3,FALSE)</f>
        <v>145.1</v>
      </c>
      <c r="G6" s="9">
        <f>VLOOKUP($A6,'5'!$B$10:$D$75,3,FALSE)</f>
        <v>163.9</v>
      </c>
      <c r="H6" s="9">
        <f>VLOOKUP($A6,'6'!$B$10:$D$75,3,FALSE)</f>
        <v>0</v>
      </c>
      <c r="I6" s="9">
        <f>IF(J6 &gt; 0,K6/J6,0)</f>
        <v>147.61999999999998</v>
      </c>
      <c r="J6" s="9">
        <f>VLOOKUP(A6,Formelhilfe!$A$15:$H$74,8,FALSE)</f>
        <v>5</v>
      </c>
      <c r="K6" s="10">
        <f>SUM(C6:H6)</f>
        <v>738.09999999999991</v>
      </c>
      <c r="L6" s="9">
        <f>VLOOKUP($A6,'7'!$B$10:$D$75,3,FALSE)</f>
        <v>154.30000000000001</v>
      </c>
      <c r="M6" s="9">
        <f>VLOOKUP($A6,'8'!$B$10:$D$75,3,FALSE)</f>
        <v>154.19999999999999</v>
      </c>
      <c r="N6" s="9">
        <f>VLOOKUP($A6,'9'!$B$10:$D$75,3,FALSE)</f>
        <v>149.69999999999999</v>
      </c>
      <c r="O6" s="9">
        <f>VLOOKUP($A6,'10'!$B$10:$D$75,3,FALSE)</f>
        <v>137.69999999999999</v>
      </c>
      <c r="P6" s="9">
        <f>VLOOKUP($A6,'11'!$B$10:$D$75,3,FALSE)</f>
        <v>151.4</v>
      </c>
      <c r="Q6" s="9">
        <f>VLOOKUP($A6,'12'!$B$10:$D$75,3,FALSE)</f>
        <v>0</v>
      </c>
      <c r="R6" s="10">
        <f>IF(S6 &gt;0,T6/S6,0)</f>
        <v>149.45999999999998</v>
      </c>
      <c r="S6" s="9">
        <f>VLOOKUP(A6,Formelhilfe!$A$15:$O$74,15,FALSE)</f>
        <v>5</v>
      </c>
      <c r="T6" s="10">
        <f>SUM(L6:Q6)</f>
        <v>747.3</v>
      </c>
      <c r="U6" s="10">
        <f>IF(V6&gt;0,W6/V6,0)</f>
        <v>148.54000000000002</v>
      </c>
      <c r="V6" s="9">
        <f>VLOOKUP(A6,Formelhilfe!$A$15:$P$74,16,FALSE)</f>
        <v>10</v>
      </c>
      <c r="W6" s="11">
        <f>SUM(C6:H6,L6:Q6)</f>
        <v>1485.4</v>
      </c>
    </row>
    <row r="7" spans="1:23" ht="20.25" customHeight="1" x14ac:dyDescent="0.35">
      <c r="A7" s="106" t="s">
        <v>169</v>
      </c>
      <c r="B7" s="92" t="str">
        <f>VLOOKUP(A7,'Wettkampf 1'!$B$16:$C$75,2,FALSE)</f>
        <v>SV Esterwegen</v>
      </c>
      <c r="C7" s="9">
        <f>VLOOKUP(A7,'Wettkampf 1'!$B$16:$D$75,3,FALSE)</f>
        <v>120.2</v>
      </c>
      <c r="D7" s="9">
        <f>VLOOKUP($A7,'2'!$B$16:$D$75,3,FALSE)</f>
        <v>103.6</v>
      </c>
      <c r="E7" s="9">
        <f>VLOOKUP($A7,'3'!$B$10:$D$75,3,FALSE)</f>
        <v>132.5</v>
      </c>
      <c r="F7" s="9">
        <f>VLOOKUP($A7,'4'!$B$10:$D$75,3,FALSE)</f>
        <v>135.30000000000001</v>
      </c>
      <c r="G7" s="9">
        <f>VLOOKUP($A7,'5'!$B$10:$D$75,3,FALSE)</f>
        <v>152</v>
      </c>
      <c r="H7" s="9">
        <f>VLOOKUP($A7,'6'!$B$10:$D$75,3,FALSE)</f>
        <v>0</v>
      </c>
      <c r="I7" s="9">
        <f>IF(J7 &gt; 0,K7/J7,0)</f>
        <v>128.72</v>
      </c>
      <c r="J7" s="9">
        <f>VLOOKUP(A7,Formelhilfe!$A$15:$H$74,8,FALSE)</f>
        <v>5</v>
      </c>
      <c r="K7" s="10">
        <f>SUM(C7:H7)</f>
        <v>643.6</v>
      </c>
      <c r="L7" s="9">
        <f>VLOOKUP($A7,'7'!$B$10:$D$75,3,FALSE)</f>
        <v>141.19999999999999</v>
      </c>
      <c r="M7" s="9">
        <f>VLOOKUP($A7,'8'!$B$10:$D$75,3,FALSE)</f>
        <v>142.6</v>
      </c>
      <c r="N7" s="9">
        <f>VLOOKUP($A7,'9'!$B$10:$D$75,3,FALSE)</f>
        <v>152.30000000000001</v>
      </c>
      <c r="O7" s="9">
        <f>VLOOKUP($A7,'10'!$B$10:$D$75,3,FALSE)</f>
        <v>124.6</v>
      </c>
      <c r="P7" s="9">
        <f>VLOOKUP($A7,'11'!$B$10:$D$75,3,FALSE)</f>
        <v>154.1</v>
      </c>
      <c r="Q7" s="9">
        <f>VLOOKUP($A7,'12'!$B$10:$D$75,3,FALSE)</f>
        <v>109.1</v>
      </c>
      <c r="R7" s="10">
        <f>IF(S7 &gt;0,T7/S7,0)</f>
        <v>137.31666666666666</v>
      </c>
      <c r="S7" s="9">
        <f>VLOOKUP(A7,Formelhilfe!$A$15:$O$74,15,FALSE)</f>
        <v>6</v>
      </c>
      <c r="T7" s="10">
        <f>SUM(L7:Q7)</f>
        <v>823.9</v>
      </c>
      <c r="U7" s="10">
        <f>IF(V7&gt;0,W7/V7,0)</f>
        <v>133.40909090909088</v>
      </c>
      <c r="V7" s="9">
        <f>VLOOKUP(A7,Formelhilfe!$A$15:$P$74,16,FALSE)</f>
        <v>11</v>
      </c>
      <c r="W7" s="11">
        <f>SUM(C7:H7,L7:Q7)</f>
        <v>1467.4999999999998</v>
      </c>
    </row>
    <row r="8" spans="1:23" ht="20.25" customHeight="1" x14ac:dyDescent="0.35">
      <c r="A8" s="106" t="s">
        <v>167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155</v>
      </c>
      <c r="H8" s="9">
        <f>VLOOKUP($A8,'6'!$B$10:$D$75,3,FALSE)</f>
        <v>0</v>
      </c>
      <c r="I8" s="9">
        <f>IF(J8 &gt; 0,K8/J8,0)</f>
        <v>142.52500000000001</v>
      </c>
      <c r="J8" s="9">
        <f>VLOOKUP(A8,Formelhilfe!$A$15:$H$74,8,FALSE)</f>
        <v>4</v>
      </c>
      <c r="K8" s="10">
        <f>SUM(C8:H8)</f>
        <v>570.1</v>
      </c>
      <c r="L8" s="9">
        <f>VLOOKUP($A8,'7'!$B$10:$D$75,3,FALSE)</f>
        <v>150.80000000000001</v>
      </c>
      <c r="M8" s="9">
        <f>VLOOKUP($A8,'8'!$B$10:$D$75,3,FALSE)</f>
        <v>122.9</v>
      </c>
      <c r="N8" s="9">
        <f>VLOOKUP($A8,'9'!$B$10:$D$75,3,FALSE)</f>
        <v>153.6</v>
      </c>
      <c r="O8" s="9">
        <f>VLOOKUP($A8,'10'!$B$10:$D$75,3,FALSE)</f>
        <v>134.5</v>
      </c>
      <c r="P8" s="9">
        <f>VLOOKUP($A8,'11'!$B$10:$D$75,3,FALSE)</f>
        <v>140.5</v>
      </c>
      <c r="Q8" s="9">
        <f>VLOOKUP($A8,'12'!$B$10:$D$75,3,FALSE)</f>
        <v>131.80000000000001</v>
      </c>
      <c r="R8" s="10">
        <f>IF(S8 &gt;0,T8/S8,0)</f>
        <v>139.01666666666668</v>
      </c>
      <c r="S8" s="9">
        <f>VLOOKUP(A8,Formelhilfe!$A$15:$O$74,15,FALSE)</f>
        <v>6</v>
      </c>
      <c r="T8" s="10">
        <f>SUM(L8:Q8)</f>
        <v>834.10000000000014</v>
      </c>
      <c r="U8" s="10">
        <f>IF(V8&gt;0,W8/V8,0)</f>
        <v>140.42000000000002</v>
      </c>
      <c r="V8" s="9">
        <f>VLOOKUP(A8,Formelhilfe!$A$15:$P$74,16,FALSE)</f>
        <v>10</v>
      </c>
      <c r="W8" s="11">
        <f>SUM(C8:H8,L8:Q8)</f>
        <v>1404.2</v>
      </c>
    </row>
    <row r="9" spans="1:23" ht="20.25" customHeight="1" x14ac:dyDescent="0.35">
      <c r="A9" s="106" t="s">
        <v>172</v>
      </c>
      <c r="B9" s="92" t="str">
        <f>VLOOKUP(A9,'Wettkampf 1'!$B$16:$C$75,2,FALSE)</f>
        <v>SV Lorup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96.6</v>
      </c>
      <c r="H9" s="9">
        <f>VLOOKUP($A9,'6'!$B$10:$D$75,3,FALSE)</f>
        <v>0</v>
      </c>
      <c r="I9" s="9">
        <f>IF(J9 &gt; 0,K9/J9,0)</f>
        <v>96.6</v>
      </c>
      <c r="J9" s="9">
        <f>VLOOKUP(A9,Formelhilfe!$A$15:$H$74,8,FALSE)</f>
        <v>1</v>
      </c>
      <c r="K9" s="10">
        <f>SUM(C9:H9)</f>
        <v>96.6</v>
      </c>
      <c r="L9" s="9">
        <f>VLOOKUP($A9,'7'!$B$10:$D$75,3,FALSE)</f>
        <v>95.6</v>
      </c>
      <c r="M9" s="9">
        <f>VLOOKUP($A9,'8'!$B$10:$D$75,3,FALSE)</f>
        <v>107.9</v>
      </c>
      <c r="N9" s="9">
        <f>VLOOKUP($A9,'9'!$B$10:$D$75,3,FALSE)</f>
        <v>127</v>
      </c>
      <c r="O9" s="9">
        <f>VLOOKUP($A9,'10'!$B$10:$D$75,3,FALSE)</f>
        <v>0</v>
      </c>
      <c r="P9" s="9">
        <f>VLOOKUP($A9,'11'!$B$10:$D$75,3,FALSE)</f>
        <v>111.7</v>
      </c>
      <c r="Q9" s="9">
        <f>VLOOKUP($A9,'12'!$B$10:$D$75,3,FALSE)</f>
        <v>121.2</v>
      </c>
      <c r="R9" s="10">
        <f>IF(S9 &gt;0,T9/S9,0)</f>
        <v>112.67999999999999</v>
      </c>
      <c r="S9" s="9">
        <f>VLOOKUP(A9,Formelhilfe!$A$15:$O$74,15,FALSE)</f>
        <v>5</v>
      </c>
      <c r="T9" s="10">
        <f>SUM(L9:Q9)</f>
        <v>563.4</v>
      </c>
      <c r="U9" s="10">
        <f>IF(V9&gt;0,W9/V9,0)</f>
        <v>110.00000000000001</v>
      </c>
      <c r="V9" s="9">
        <f>VLOOKUP(A9,Formelhilfe!$A$15:$P$74,16,FALSE)</f>
        <v>6</v>
      </c>
      <c r="W9" s="11">
        <f>SUM(C9:H9,L9:Q9)</f>
        <v>660.00000000000011</v>
      </c>
    </row>
    <row r="10" spans="1:23" ht="20.25" customHeight="1" x14ac:dyDescent="0.35">
      <c r="A10" s="106" t="s">
        <v>165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118.7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118.7</v>
      </c>
      <c r="S10" s="9">
        <f>VLOOKUP(A10,Formelhilfe!$A$15:$O$74,15,FALSE)</f>
        <v>1</v>
      </c>
      <c r="T10" s="10">
        <f>SUM(L10:Q10)</f>
        <v>118.7</v>
      </c>
      <c r="U10" s="10">
        <f>IF(V10&gt;0,W10/V10,0)</f>
        <v>112.30000000000001</v>
      </c>
      <c r="V10" s="9">
        <f>VLOOKUP(A10,Formelhilfe!$A$15:$P$74,16,FALSE)</f>
        <v>2</v>
      </c>
      <c r="W10" s="11">
        <f>SUM(C10:H10,L10:Q10)</f>
        <v>224.60000000000002</v>
      </c>
    </row>
    <row r="11" spans="1:23" ht="20.25" customHeight="1" x14ac:dyDescent="0.35">
      <c r="A11" s="106" t="s">
        <v>171</v>
      </c>
      <c r="B11" s="92" t="str">
        <f>VLOOKUP(A11,'Wettkampf 1'!$B$16:$C$75,2,FALSE)</f>
        <v>SV Spahnharrenstätte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87.4</v>
      </c>
      <c r="G11" s="9">
        <f>VLOOKUP($A11,'5'!$B$10:$D$75,3,FALSE)</f>
        <v>98</v>
      </c>
      <c r="H11" s="9">
        <f>VLOOKUP($A11,'6'!$B$10:$D$75,3,FALSE)</f>
        <v>0</v>
      </c>
      <c r="I11" s="9">
        <f>IF(J11 &gt; 0,K11/J11,0)</f>
        <v>92.7</v>
      </c>
      <c r="J11" s="9">
        <f>VLOOKUP(A11,Formelhilfe!$A$15:$H$74,8,FALSE)</f>
        <v>2</v>
      </c>
      <c r="K11" s="10">
        <f>SUM(C11:H11)</f>
        <v>185.4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92.7</v>
      </c>
      <c r="V11" s="9">
        <f>VLOOKUP(A11,Formelhilfe!$A$15:$P$74,16,FALSE)</f>
        <v>2</v>
      </c>
      <c r="W11" s="11">
        <f>SUM(C11:H11,L11:Q11)</f>
        <v>185.4</v>
      </c>
    </row>
    <row r="12" spans="1:23" ht="20.25" customHeight="1" x14ac:dyDescent="0.35">
      <c r="A12" s="106" t="s">
        <v>164</v>
      </c>
      <c r="B12" s="92" t="str">
        <f>VLOOKUP(A12,'Wettkampf 1'!$B$16:$C$75,2,FALSE)</f>
        <v>SV Lorup</v>
      </c>
      <c r="C12" s="9">
        <f>VLOOKUP(A12,'Wettkampf 1'!$B$16:$D$75,3,FALSE)</f>
        <v>110.9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110.9</v>
      </c>
      <c r="J12" s="9">
        <f>VLOOKUP(A12,Formelhilfe!$A$15:$H$74,8,FALSE)</f>
        <v>1</v>
      </c>
      <c r="K12" s="10">
        <f>SUM(C12:H12)</f>
        <v>110.9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110.9</v>
      </c>
      <c r="V12" s="9">
        <f>VLOOKUP(A12,Formelhilfe!$A$15:$P$74,16,FALSE)</f>
        <v>1</v>
      </c>
      <c r="W12" s="11">
        <f>SUM(C12:H12,L12:Q12)</f>
        <v>110.9</v>
      </c>
    </row>
    <row r="13" spans="1:23" ht="20.25" customHeight="1" x14ac:dyDescent="0.35">
      <c r="A13" s="106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 t="str">
        <f>VLOOKUP($A13,'12'!$B$10:$D$75,3,FALSE)</f>
        <v xml:space="preserve"> </v>
      </c>
      <c r="R13" s="10">
        <f>IF(S13 &gt;0,T13/S13,0)</f>
        <v>0</v>
      </c>
      <c r="S13" s="9">
        <f>VLOOKUP(A13,Formelhilfe!$A$15:$O$74,15,FALSE)</f>
        <v>1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1</v>
      </c>
      <c r="W13" s="11">
        <f>SUM(C13:H13,L13:Q13)</f>
        <v>0</v>
      </c>
    </row>
    <row r="14" spans="1:23" ht="20.25" customHeight="1" x14ac:dyDescent="0.35">
      <c r="A14" s="106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 t="str">
        <f>VLOOKUP($A14,'12'!$B$10:$D$75,3,FALSE)</f>
        <v xml:space="preserve"> </v>
      </c>
      <c r="R14" s="10">
        <f>IF(S14 &gt;0,T14/S14,0)</f>
        <v>0</v>
      </c>
      <c r="S14" s="9">
        <f>VLOOKUP(A14,Formelhilfe!$A$15:$O$74,15,FALSE)</f>
        <v>1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1</v>
      </c>
      <c r="W14" s="11">
        <f>SUM(C14:H14,L14:Q14)</f>
        <v>0</v>
      </c>
    </row>
    <row r="15" spans="1:23" ht="20.25" customHeight="1" x14ac:dyDescent="0.35">
      <c r="A15" s="106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 t="str">
        <f>VLOOKUP($A15,'12'!$B$10:$D$75,3,FALSE)</f>
        <v xml:space="preserve"> </v>
      </c>
      <c r="R15" s="10">
        <f>IF(S15 &gt;0,T15/S15,0)</f>
        <v>0</v>
      </c>
      <c r="S15" s="9">
        <f>VLOOKUP(A15,Formelhilfe!$A$15:$O$74,15,FALSE)</f>
        <v>1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1</v>
      </c>
      <c r="W15" s="11">
        <f>SUM(C15:H15,L15:Q15)</f>
        <v>0</v>
      </c>
    </row>
    <row r="16" spans="1:23" ht="20.25" customHeight="1" x14ac:dyDescent="0.35">
      <c r="A16" s="106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11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66" si="1">SUM(I3:N3)</f>
        <v>6</v>
      </c>
      <c r="P3" s="13">
        <f t="shared" ref="P3:P13" si="2">O3+H3</f>
        <v>11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10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11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5</v>
      </c>
      <c r="P15" s="13">
        <f>O15+H15</f>
        <v>9</v>
      </c>
    </row>
    <row r="16" spans="1:21" ht="15.75" x14ac:dyDescent="0.25">
      <c r="A16" s="106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1</v>
      </c>
      <c r="N16" s="13">
        <f>IF('12'!$D17&gt;0,1,0)</f>
        <v>1</v>
      </c>
      <c r="O16" s="13">
        <f t="shared" si="1"/>
        <v>5</v>
      </c>
      <c r="P16" s="13">
        <f t="shared" ref="P16:P44" si="3">O16+H16</f>
        <v>10</v>
      </c>
    </row>
    <row r="17" spans="1:16" ht="15.75" x14ac:dyDescent="0.25">
      <c r="A17" s="106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1</v>
      </c>
      <c r="O17" s="13">
        <f t="shared" si="1"/>
        <v>1</v>
      </c>
      <c r="P17" s="13">
        <f t="shared" si="3"/>
        <v>1</v>
      </c>
    </row>
    <row r="18" spans="1:16" ht="15.75" x14ac:dyDescent="0.25">
      <c r="A18" s="10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1</v>
      </c>
      <c r="O18" s="13">
        <f t="shared" si="1"/>
        <v>1</v>
      </c>
      <c r="P18" s="13">
        <f t="shared" si="3"/>
        <v>1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1</v>
      </c>
      <c r="O19" s="13">
        <f t="shared" si="1"/>
        <v>1</v>
      </c>
      <c r="P19" s="13">
        <f t="shared" si="3"/>
        <v>1</v>
      </c>
    </row>
    <row r="20" spans="1:16" ht="15.75" x14ac:dyDescent="0.25">
      <c r="A20" s="106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1</v>
      </c>
      <c r="O20" s="13">
        <f t="shared" si="1"/>
        <v>6</v>
      </c>
      <c r="P20" s="13">
        <f t="shared" si="3"/>
        <v>10</v>
      </c>
    </row>
    <row r="21" spans="1:16" ht="15.75" x14ac:dyDescent="0.25">
      <c r="A21" s="106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11</v>
      </c>
    </row>
    <row r="22" spans="1:16" ht="15.75" x14ac:dyDescent="0.25">
      <c r="A22" s="106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2</v>
      </c>
    </row>
    <row r="27" spans="1:16" ht="15.75" x14ac:dyDescent="0.25">
      <c r="A27" s="106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10</v>
      </c>
    </row>
    <row r="28" spans="1:16" ht="15.75" x14ac:dyDescent="0.25">
      <c r="A28" s="106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1</v>
      </c>
      <c r="N28" s="13">
        <f>IF('12'!$D29&gt;0,1,0)</f>
        <v>1</v>
      </c>
      <c r="O28" s="13">
        <f t="shared" si="1"/>
        <v>5</v>
      </c>
      <c r="P28" s="13">
        <f t="shared" si="3"/>
        <v>6</v>
      </c>
    </row>
    <row r="29" spans="1:16" ht="15.75" x14ac:dyDescent="0.25">
      <c r="A29" s="106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75" x14ac:dyDescent="0.25">
      <c r="A31" s="106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11</v>
      </c>
    </row>
    <row r="36" spans="1:16" ht="15.75" x14ac:dyDescent="0.25">
      <c r="A36" s="106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7</v>
      </c>
      <c r="J75" s="17">
        <f t="shared" ref="J75" si="10">SUM(J15:J74)</f>
        <v>9</v>
      </c>
      <c r="K75" s="17">
        <f t="shared" ref="K75" si="11">SUM(K15:K74)</f>
        <v>8</v>
      </c>
      <c r="L75" s="17">
        <f t="shared" ref="L75" si="12">SUM(L15:L74)</f>
        <v>6</v>
      </c>
      <c r="M75" s="17">
        <f t="shared" ref="M75" si="13">SUM(M15:M74)</f>
        <v>8</v>
      </c>
      <c r="N75" s="17">
        <f t="shared" ref="N75" si="14">SUM(N15:N74)</f>
        <v>10</v>
      </c>
      <c r="O75" s="17">
        <f t="shared" ref="O75" si="15">SUM(O15:O74)</f>
        <v>48</v>
      </c>
      <c r="P75" s="17">
        <f t="shared" ref="P75" si="16">SUM(P15:P74)</f>
        <v>85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154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346.2</v>
      </c>
      <c r="F2" s="5">
        <f>VLOOKUP($B$2:$B$13,'4'!$B$2:$D$19,3,FALSE)</f>
        <v>319</v>
      </c>
      <c r="G2" s="5">
        <f>VLOOKUP($B$2:$B$13,'5'!$B$2:$D$19,3,FALSE)</f>
        <v>188.6</v>
      </c>
      <c r="H2" s="5">
        <f>VLOOKUP($B$2:$B$13,'6'!$B$2:$D$19,3,FALSE)</f>
        <v>0</v>
      </c>
      <c r="I2" s="5">
        <f>IF(Formelhilfe!H3 &gt; 0,J2/Formelhilfe!H3,0)</f>
        <v>301.89999999999998</v>
      </c>
      <c r="J2" s="5">
        <f>SUM(C2:H2)</f>
        <v>1509.5</v>
      </c>
      <c r="K2" s="5">
        <f>VLOOKUP($B$2:$B$13,'7'!$B$2:$D$19,3,FALSE)</f>
        <v>338.4</v>
      </c>
      <c r="L2" s="5">
        <f>VLOOKUP($B$2:$B$13,'8'!$B$2:$D$19,3,FALSE)</f>
        <v>335.6</v>
      </c>
      <c r="M2" s="5">
        <f>VLOOKUP($B$2:$B$13,'9'!$B$2:$D$19,3,FALSE)</f>
        <v>355.5</v>
      </c>
      <c r="N2" s="5">
        <f>VLOOKUP($B$2:$B$13,'10'!$B$2:$D$19,3,FALSE)</f>
        <v>333</v>
      </c>
      <c r="O2" s="5">
        <f>VLOOKUP($B$2:$B$13,'11'!$B$2:$D$19,3,FALSE)</f>
        <v>336.79999999999995</v>
      </c>
      <c r="P2" s="5">
        <f>VLOOKUP($B$2:$B$13,'12'!$B$2:$D$19,3,FALSE)</f>
        <v>352.79999999999995</v>
      </c>
      <c r="Q2" s="5">
        <f>IF(Formelhilfe!O3&gt;0,R2/Formelhilfe!O3,0)</f>
        <v>342.01666666666665</v>
      </c>
      <c r="R2" s="5">
        <f>SUM(K2:P2)</f>
        <v>2052.1</v>
      </c>
      <c r="S2" s="5">
        <f>IF(Formelhilfe!P3&gt;0,T2/Formelhilfe!P3,0)</f>
        <v>323.78181818181821</v>
      </c>
      <c r="T2" s="6">
        <f>SUM(C2:H2,K2:P2)</f>
        <v>3561.6000000000004</v>
      </c>
    </row>
    <row r="3" spans="1:20" ht="23.25" customHeight="1" x14ac:dyDescent="0.3">
      <c r="A3" s="12"/>
      <c r="B3" s="106" t="s">
        <v>153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376.70000000000005</v>
      </c>
      <c r="F3" s="5">
        <f>VLOOKUP($B$2:$B$13,'4'!$B$2:$D$19,3,FALSE)</f>
        <v>358.4</v>
      </c>
      <c r="G3" s="5">
        <f>VLOOKUP($B$2:$B$13,'5'!$B$2:$D$19,3,FALSE)</f>
        <v>367.20000000000005</v>
      </c>
      <c r="H3" s="5">
        <f>VLOOKUP($B$2:$B$13,'6'!$B$2:$D$19,3,FALSE)</f>
        <v>0</v>
      </c>
      <c r="I3" s="5">
        <f>IF(Formelhilfe!H12 &gt; 0,J3/Formelhilfe!H12,0)</f>
        <v>0</v>
      </c>
      <c r="J3" s="5">
        <f>SUM(C3:H3)</f>
        <v>1652.5000000000002</v>
      </c>
      <c r="K3" s="5">
        <f>VLOOKUP($B$2:$B$13,'7'!$B$2:$D$19,3,FALSE)</f>
        <v>190</v>
      </c>
      <c r="L3" s="5">
        <f>VLOOKUP($B$2:$B$13,'8'!$B$2:$D$19,3,FALSE)</f>
        <v>372</v>
      </c>
      <c r="M3" s="5">
        <f>VLOOKUP($B$2:$B$13,'9'!$B$2:$D$19,3,FALSE)</f>
        <v>372.8</v>
      </c>
      <c r="N3" s="5">
        <f>VLOOKUP($B$2:$B$13,'10'!$B$2:$D$19,3,FALSE)</f>
        <v>189.2</v>
      </c>
      <c r="O3" s="5">
        <f>VLOOKUP($B$2:$B$13,'11'!$B$2:$D$19,3,FALSE)</f>
        <v>378.70000000000005</v>
      </c>
      <c r="P3" s="5">
        <f>VLOOKUP($B$2:$B$13,'12'!$B$2:$D$19,3,FALSE)</f>
        <v>375.70000000000005</v>
      </c>
      <c r="Q3" s="5">
        <f>IF(Formelhilfe!O12&gt;0,R3/Formelhilfe!O12,0)</f>
        <v>0</v>
      </c>
      <c r="R3" s="5">
        <f>SUM(K3:P3)</f>
        <v>1878.4</v>
      </c>
      <c r="S3" s="5">
        <f>IF(Formelhilfe!P12&gt;0,T3/Formelhilfe!P12,0)</f>
        <v>0</v>
      </c>
      <c r="T3" s="6">
        <f>SUM(C3:H3,K3:P3)</f>
        <v>3530.8999999999996</v>
      </c>
    </row>
    <row r="4" spans="1:20" ht="23.25" customHeight="1" x14ac:dyDescent="0.3">
      <c r="A4" s="12"/>
      <c r="B4" s="106" t="s">
        <v>155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143</v>
      </c>
      <c r="G4" s="5">
        <f>VLOOKUP($B$2:$B$13,'5'!$B$2:$D$19,3,FALSE)</f>
        <v>251.6</v>
      </c>
      <c r="H4" s="5">
        <f>VLOOKUP($B$2:$B$13,'6'!$B$2:$D$19,3,FALSE)</f>
        <v>0</v>
      </c>
      <c r="I4" s="5">
        <f>IF(Formelhilfe!H4 &gt; 0,J4/Formelhilfe!H4,0)</f>
        <v>220.875</v>
      </c>
      <c r="J4" s="5">
        <f>SUM(C4:H4)</f>
        <v>883.5</v>
      </c>
      <c r="K4" s="5">
        <f>VLOOKUP($B$2:$B$13,'7'!$B$2:$D$19,3,FALSE)</f>
        <v>246.4</v>
      </c>
      <c r="L4" s="5">
        <f>VLOOKUP($B$2:$B$13,'8'!$B$2:$D$19,3,FALSE)</f>
        <v>349.5</v>
      </c>
      <c r="M4" s="5">
        <f>VLOOKUP($B$2:$B$13,'9'!$B$2:$D$19,3,FALSE)</f>
        <v>280.60000000000002</v>
      </c>
      <c r="N4" s="5">
        <f>VLOOKUP($B$2:$B$13,'10'!$B$2:$D$19,3,FALSE)</f>
        <v>134.5</v>
      </c>
      <c r="O4" s="5">
        <f>VLOOKUP($B$2:$B$13,'11'!$B$2:$D$19,3,FALSE)</f>
        <v>252.2</v>
      </c>
      <c r="P4" s="5">
        <f>VLOOKUP($B$2:$B$13,'12'!$B$2:$D$19,3,FALSE)</f>
        <v>253</v>
      </c>
      <c r="Q4" s="5">
        <f>IF(Formelhilfe!O4&gt;0,R4/Formelhilfe!O4,0)</f>
        <v>252.70000000000002</v>
      </c>
      <c r="R4" s="5">
        <f>SUM(K4:P4)</f>
        <v>1516.2</v>
      </c>
      <c r="S4" s="5">
        <f>IF(Formelhilfe!P4&gt;0,T4/Formelhilfe!P4,0)</f>
        <v>239.96999999999997</v>
      </c>
      <c r="T4" s="6">
        <f>SUM(C4:H4,K4:P4)</f>
        <v>2399.6999999999998</v>
      </c>
    </row>
    <row r="5" spans="1:20" ht="23.25" customHeight="1" x14ac:dyDescent="0.3">
      <c r="A5" s="12"/>
      <c r="B5" s="106" t="s">
        <v>156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232.5</v>
      </c>
      <c r="G5" s="5">
        <f>VLOOKUP($B$2:$B$13,'5'!$B$2:$D$19,3,FALSE)</f>
        <v>261.89999999999998</v>
      </c>
      <c r="H5" s="5">
        <f>VLOOKUP($B$2:$B$13,'6'!$B$2:$D$19,3,FALSE)</f>
        <v>0</v>
      </c>
      <c r="I5" s="5">
        <f>IF(Formelhilfe!H2 &gt; 0,J5/Formelhilfe!H2,0)</f>
        <v>184.7</v>
      </c>
      <c r="J5" s="5">
        <f>SUM(C5:H5)</f>
        <v>923.49999999999989</v>
      </c>
      <c r="K5" s="5">
        <f>VLOOKUP($B$2:$B$13,'7'!$B$2:$D$19,3,FALSE)</f>
        <v>154.30000000000001</v>
      </c>
      <c r="L5" s="5">
        <f>VLOOKUP($B$2:$B$13,'8'!$B$2:$D$19,3,FALSE)</f>
        <v>154.19999999999999</v>
      </c>
      <c r="M5" s="5">
        <f>VLOOKUP($B$2:$B$13,'9'!$B$2:$D$19,3,FALSE)</f>
        <v>149.69999999999999</v>
      </c>
      <c r="N5" s="5">
        <f>VLOOKUP($B$2:$B$13,'10'!$B$2:$D$19,3,FALSE)</f>
        <v>137.69999999999999</v>
      </c>
      <c r="O5" s="5">
        <f>VLOOKUP($B$2:$B$13,'11'!$B$2:$D$19,3,FALSE)</f>
        <v>151.4</v>
      </c>
      <c r="P5" s="5">
        <f>VLOOKUP($B$2:$B$13,'12'!$B$2:$D$19,3,FALSE)</f>
        <v>0</v>
      </c>
      <c r="Q5" s="5">
        <f>IF(Formelhilfe!O2&gt;0,R5/Formelhilfe!O2,0)</f>
        <v>124.55</v>
      </c>
      <c r="R5" s="5">
        <f>SUM(K5:P5)</f>
        <v>747.3</v>
      </c>
      <c r="S5" s="5">
        <f>IF(Formelhilfe!P2&gt;0,T5/Formelhilfe!P2,0)</f>
        <v>151.8909090909091</v>
      </c>
      <c r="T5" s="6">
        <f>SUM(C5:H5,K5:P5)</f>
        <v>1670.8000000000002</v>
      </c>
    </row>
    <row r="6" spans="1:20" ht="23.25" customHeight="1" x14ac:dyDescent="0.3">
      <c r="A6" s="12"/>
      <c r="B6" s="106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141.19999999999999</v>
      </c>
      <c r="L6" s="5">
        <f>VLOOKUP($B$2:$B$13,'8'!$B$2:$D$19,3,FALSE)</f>
        <v>142.6</v>
      </c>
      <c r="M6" s="5">
        <f>VLOOKUP($B$2:$B$13,'9'!$B$2:$D$19,3,FALSE)</f>
        <v>152.30000000000001</v>
      </c>
      <c r="N6" s="5">
        <f>VLOOKUP($B$2:$B$13,'10'!$B$2:$D$19,3,FALSE)</f>
        <v>124.6</v>
      </c>
      <c r="O6" s="5">
        <f>VLOOKUP($B$2:$B$13,'11'!$B$2:$D$19,3,FALSE)</f>
        <v>154.1</v>
      </c>
      <c r="P6" s="5">
        <f>VLOOKUP($B$2:$B$13,'12'!$B$2:$D$19,3,FALSE)</f>
        <v>109.1</v>
      </c>
      <c r="Q6" s="5">
        <f>IF(Formelhilfe!O5&gt;0,R6/Formelhilfe!O5,0)</f>
        <v>164.78</v>
      </c>
      <c r="R6" s="5">
        <f>SUM(K6:P6)</f>
        <v>823.9</v>
      </c>
      <c r="S6" s="5">
        <f>IF(Formelhilfe!P5&gt;0,T6/Formelhilfe!P5,0)</f>
        <v>146.74999999999997</v>
      </c>
      <c r="T6" s="6">
        <f>SUM(C6:H6,K6:P6)</f>
        <v>1467.4999999999998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160</v>
      </c>
      <c r="AL5" s="168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159</v>
      </c>
      <c r="AL6" s="168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7" t="s">
        <v>161</v>
      </c>
      <c r="AL7" s="168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170</v>
      </c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7" t="s">
        <v>170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7" workbookViewId="0">
      <selection activeCell="D16" sqref="D16: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338.4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246.4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154.30000000000001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173</v>
      </c>
      <c r="AJ5" s="14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141.19999999999999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174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49" t="s">
        <v>175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</v>
      </c>
      <c r="E17" s="82"/>
      <c r="F17" s="67">
        <f t="shared" ref="F17:F75" si="0">IF(E17="x","0",D17)</f>
        <v>190</v>
      </c>
      <c r="G17" s="68">
        <f t="shared" ref="G17:G75" si="1">IF(C17=$B$2,F17,0)</f>
        <v>190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159.80000000000001</v>
      </c>
      <c r="E21" s="82"/>
      <c r="F21" s="67">
        <f t="shared" si="0"/>
        <v>159.80000000000001</v>
      </c>
      <c r="G21" s="68">
        <f t="shared" si="1"/>
        <v>0</v>
      </c>
      <c r="H21" s="68">
        <f t="shared" si="2"/>
        <v>0</v>
      </c>
      <c r="I21" s="68">
        <f t="shared" si="3"/>
        <v>159.80000000000001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178.6</v>
      </c>
      <c r="E22" s="82"/>
      <c r="F22" s="67">
        <f t="shared" si="0"/>
        <v>178.6</v>
      </c>
      <c r="G22" s="68">
        <f t="shared" si="1"/>
        <v>0</v>
      </c>
      <c r="H22" s="68">
        <f t="shared" si="2"/>
        <v>0</v>
      </c>
      <c r="I22" s="68">
        <f t="shared" si="3"/>
        <v>178.6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150.80000000000001</v>
      </c>
      <c r="E28" s="82"/>
      <c r="F28" s="67">
        <f t="shared" si="0"/>
        <v>150.80000000000001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150.80000000000001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95.6</v>
      </c>
      <c r="E29" s="82"/>
      <c r="F29" s="67">
        <f t="shared" si="0"/>
        <v>95.6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95.6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154.30000000000001</v>
      </c>
      <c r="E31" s="82"/>
      <c r="F31" s="67">
        <f t="shared" si="0"/>
        <v>154.30000000000001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154.30000000000001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141.19999999999999</v>
      </c>
      <c r="E36" s="82"/>
      <c r="F36" s="67">
        <f t="shared" si="0"/>
        <v>141.19999999999999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141.19999999999999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</v>
      </c>
      <c r="H76" s="68">
        <f>SUM(H16:H75)</f>
        <v>5</v>
      </c>
      <c r="I76" s="68">
        <f>LARGE(I16:I75,1)+LARGE(I16:I75,2)+LARGE(I16:I75,3)</f>
        <v>338.4</v>
      </c>
      <c r="J76" s="68">
        <f>SUM(J16:J75)</f>
        <v>5</v>
      </c>
      <c r="K76" s="68">
        <f>LARGE(K16:K75,1)+LARGE(K16:K75,2)+LARGE(K16:K75,3)</f>
        <v>246.4</v>
      </c>
      <c r="L76" s="68">
        <f>SUM(L16:L75)</f>
        <v>5</v>
      </c>
      <c r="M76" s="68">
        <f>LARGE(M16:M75,1)+LARGE(M16:M75,2)+LARGE(M16:M75,3)</f>
        <v>154.30000000000001</v>
      </c>
      <c r="N76" s="68">
        <f>SUM(N16:N75)</f>
        <v>5</v>
      </c>
      <c r="O76" s="68">
        <f>LARGE(O16:O75,1)+LARGE(O16:O75,2)+LARGE(O16:O75,3)</f>
        <v>141.19999999999999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349.5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154.19999999999999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142.6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185.7</v>
      </c>
      <c r="E16" s="82"/>
      <c r="F16" s="67">
        <f>IF(E16="x","0",D16)</f>
        <v>185.7</v>
      </c>
      <c r="G16" s="68">
        <f>IF(C16=$B$2,F16,0)</f>
        <v>185.7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186.3</v>
      </c>
      <c r="E17" s="82"/>
      <c r="F17" s="67">
        <f t="shared" ref="F17:F75" si="0">IF(E17="x","0",D17)</f>
        <v>186.3</v>
      </c>
      <c r="G17" s="68">
        <f t="shared" ref="G17:G75" si="1">IF(C17=$B$2,F17,0)</f>
        <v>186.3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152.6</v>
      </c>
      <c r="E21" s="82"/>
      <c r="F21" s="67">
        <f t="shared" si="0"/>
        <v>152.6</v>
      </c>
      <c r="G21" s="68">
        <f t="shared" si="1"/>
        <v>0</v>
      </c>
      <c r="H21" s="68">
        <f t="shared" si="2"/>
        <v>0</v>
      </c>
      <c r="I21" s="68">
        <f t="shared" si="3"/>
        <v>152.6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183</v>
      </c>
      <c r="E22" s="82"/>
      <c r="F22" s="67">
        <f t="shared" si="0"/>
        <v>183</v>
      </c>
      <c r="G22" s="68">
        <f t="shared" si="1"/>
        <v>0</v>
      </c>
      <c r="H22" s="68">
        <f t="shared" si="2"/>
        <v>0</v>
      </c>
      <c r="I22" s="68">
        <f t="shared" si="3"/>
        <v>183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118.7</v>
      </c>
      <c r="E27" s="82"/>
      <c r="F27" s="67">
        <f t="shared" si="0"/>
        <v>118.7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118.7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122.9</v>
      </c>
      <c r="E28" s="82"/>
      <c r="F28" s="67">
        <f t="shared" si="0"/>
        <v>122.9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122.9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107.9</v>
      </c>
      <c r="E29" s="82"/>
      <c r="F29" s="67">
        <f t="shared" si="0"/>
        <v>107.9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107.9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154.19999999999999</v>
      </c>
      <c r="E31" s="82"/>
      <c r="F31" s="67">
        <f t="shared" si="0"/>
        <v>154.19999999999999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154.19999999999999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142.6</v>
      </c>
      <c r="E36" s="82"/>
      <c r="F36" s="67">
        <f t="shared" si="0"/>
        <v>142.6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142.6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</v>
      </c>
      <c r="H76" s="68">
        <f>SUM(H16:H75)</f>
        <v>5</v>
      </c>
      <c r="I76" s="68">
        <f>LARGE(I16:I75,1)+LARGE(I16:I75,2)+LARGE(I16:I75,3)</f>
        <v>335.6</v>
      </c>
      <c r="J76" s="68">
        <f>SUM(J16:J75)</f>
        <v>5</v>
      </c>
      <c r="K76" s="68">
        <f>LARGE(K16:K75,1)+LARGE(K16:K75,2)+LARGE(K16:K75,3)</f>
        <v>349.5</v>
      </c>
      <c r="L76" s="68">
        <f>SUM(L16:L75)</f>
        <v>5</v>
      </c>
      <c r="M76" s="68">
        <f>LARGE(M16:M75,1)+LARGE(M16:M75,2)+LARGE(M16:M75,3)</f>
        <v>154.19999999999999</v>
      </c>
      <c r="N76" s="68">
        <f>SUM(N16:N75)</f>
        <v>5</v>
      </c>
      <c r="O76" s="68">
        <f>LARGE(O16:O75,1)+LARGE(O16:O75,2)+LARGE(O16:O75,3)</f>
        <v>142.6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2026-04-24T14:44:09Z</cp:lastPrinted>
  <dcterms:created xsi:type="dcterms:W3CDTF">2010-11-23T11:44:38Z</dcterms:created>
  <dcterms:modified xsi:type="dcterms:W3CDTF">2026-04-24T14:59:16Z</dcterms:modified>
</cp:coreProperties>
</file>